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aster\Nextcloud\EXchange\___PL-Online\__Ergebnis\0_Fertig\"/>
    </mc:Choice>
  </mc:AlternateContent>
  <xr:revisionPtr revIDLastSave="0" documentId="13_ncr:1_{0EB0ADE2-C680-4533-989E-6EC71E95CE24}" xr6:coauthVersionLast="47" xr6:coauthVersionMax="47" xr10:uidLastSave="{00000000-0000-0000-0000-000000000000}"/>
  <bookViews>
    <workbookView xWindow="360" yWindow="435" windowWidth="18930" windowHeight="20670" activeTab="1" xr2:uid="{00000000-000D-0000-FFFF-FFFF00000000}"/>
  </bookViews>
  <sheets>
    <sheet name="Zoo_Steckbrief" sheetId="1" r:id="rId1"/>
    <sheet name="PL_Legende" sheetId="5" r:id="rId2"/>
  </sheets>
  <definedNames>
    <definedName name="_xlnm.Print_Area" localSheetId="0">Zoo_Steckbrief!$A$1:$G$71</definedName>
    <definedName name="PL_Kommentare">#REF!</definedName>
  </definedNames>
  <calcPr calcId="191029"/>
</workbook>
</file>

<file path=xl/calcChain.xml><?xml version="1.0" encoding="utf-8"?>
<calcChain xmlns="http://schemas.openxmlformats.org/spreadsheetml/2006/main">
  <c r="M106" i="1" l="1"/>
  <c r="J99" i="1"/>
  <c r="Q89" i="1"/>
  <c r="O93" i="1"/>
  <c r="M97" i="1"/>
  <c r="J93" i="1"/>
  <c r="N77" i="1"/>
  <c r="O105" i="1"/>
  <c r="I85" i="1"/>
  <c r="N91" i="1"/>
  <c r="I106" i="1"/>
  <c r="L81" i="1"/>
  <c r="J85" i="1"/>
  <c r="B45" i="1"/>
  <c r="I91" i="1"/>
  <c r="K83" i="1"/>
  <c r="J77" i="1"/>
  <c r="K89" i="1"/>
  <c r="N99" i="1"/>
  <c r="I83" i="1"/>
  <c r="J83" i="1"/>
  <c r="K93" i="1"/>
  <c r="L93" i="1"/>
  <c r="O89" i="1"/>
  <c r="J106" i="1"/>
  <c r="J81" i="1"/>
  <c r="P89" i="1"/>
  <c r="P75" i="1"/>
  <c r="M79" i="1"/>
  <c r="L89" i="1"/>
  <c r="N83" i="1"/>
  <c r="I81" i="1"/>
  <c r="P99" i="1"/>
  <c r="P87" i="1"/>
  <c r="K87" i="1"/>
  <c r="M99" i="1"/>
  <c r="M105" i="1"/>
  <c r="I105" i="1"/>
  <c r="L91" i="1"/>
  <c r="N93" i="1"/>
  <c r="K99" i="1"/>
  <c r="M95" i="1"/>
  <c r="K81" i="1"/>
  <c r="L97" i="1"/>
  <c r="O75" i="1"/>
  <c r="M85" i="1"/>
  <c r="K95" i="1"/>
  <c r="J87" i="1"/>
  <c r="I89" i="1"/>
  <c r="I93" i="1"/>
  <c r="L87" i="1"/>
  <c r="M83" i="1"/>
  <c r="L79" i="1"/>
  <c r="O81" i="1"/>
  <c r="J97" i="1"/>
  <c r="M87" i="1"/>
  <c r="K79" i="1"/>
  <c r="I95" i="1"/>
  <c r="M89" i="1"/>
  <c r="K106" i="1"/>
  <c r="I79" i="1"/>
  <c r="N95" i="1"/>
  <c r="K97" i="1"/>
  <c r="K85" i="1"/>
  <c r="N81" i="1"/>
  <c r="N97" i="1"/>
  <c r="J91" i="1"/>
  <c r="L77" i="1"/>
  <c r="O83" i="1"/>
  <c r="O79" i="1"/>
  <c r="L85" i="1"/>
  <c r="L106" i="1"/>
  <c r="O97" i="1"/>
  <c r="L105" i="1"/>
  <c r="O87" i="1"/>
  <c r="N85" i="1"/>
  <c r="M81" i="1"/>
  <c r="O95" i="1"/>
  <c r="J95" i="1"/>
  <c r="J75" i="1"/>
  <c r="O85" i="1"/>
  <c r="L83" i="1"/>
  <c r="O77" i="1"/>
  <c r="K75" i="1"/>
  <c r="L95" i="1"/>
  <c r="N105" i="1"/>
  <c r="N87" i="1"/>
  <c r="I99" i="1"/>
  <c r="M77" i="1"/>
  <c r="J79" i="1"/>
  <c r="J89" i="1"/>
  <c r="N79" i="1"/>
  <c r="I97" i="1"/>
  <c r="O91" i="1"/>
  <c r="M91" i="1"/>
  <c r="N89" i="1"/>
  <c r="M93" i="1"/>
  <c r="O99" i="1"/>
  <c r="I87" i="1"/>
  <c r="L99" i="1"/>
  <c r="K91" i="1"/>
  <c r="B30" i="1" l="1"/>
  <c r="G42" i="1"/>
  <c r="E22" i="1"/>
  <c r="B35" i="1"/>
  <c r="I77" i="1"/>
  <c r="B13" i="1" s="1"/>
  <c r="B27" i="1"/>
  <c r="B6" i="1"/>
  <c r="B20" i="1"/>
  <c r="C42" i="1"/>
  <c r="B5" i="1"/>
  <c r="B26" i="1"/>
  <c r="B33" i="1"/>
  <c r="M101" i="1"/>
  <c r="P103" i="1"/>
  <c r="K103" i="1"/>
  <c r="E40" i="1"/>
  <c r="J105" i="1"/>
  <c r="E43" i="1" s="1"/>
  <c r="B43" i="1"/>
  <c r="M75" i="1"/>
  <c r="B7" i="1" s="1"/>
  <c r="N103" i="1"/>
  <c r="I103" i="1"/>
  <c r="B15" i="1"/>
  <c r="B42" i="1"/>
  <c r="O101" i="1"/>
  <c r="M103" i="1"/>
  <c r="B31" i="1"/>
  <c r="B21" i="1"/>
  <c r="L75" i="1"/>
  <c r="B8" i="1" s="1"/>
  <c r="B25" i="1"/>
  <c r="E39" i="1"/>
  <c r="B36" i="1"/>
  <c r="C32" i="1"/>
  <c r="C44" i="1"/>
  <c r="C43" i="1"/>
  <c r="O103" i="1"/>
  <c r="J103" i="1"/>
  <c r="B10" i="1"/>
  <c r="K101" i="1"/>
  <c r="B32" i="1"/>
  <c r="B39" i="1"/>
  <c r="E23" i="1"/>
  <c r="E24" i="1"/>
  <c r="K105" i="1"/>
  <c r="E44" i="1" s="1"/>
  <c r="E41" i="1"/>
  <c r="I101" i="1"/>
  <c r="C31" i="1"/>
  <c r="B11" i="1"/>
  <c r="J101" i="1"/>
  <c r="C2" i="1"/>
  <c r="E21" i="1"/>
  <c r="E19" i="1"/>
  <c r="E42" i="1"/>
  <c r="L103" i="1"/>
  <c r="N101" i="1"/>
  <c r="L101" i="1"/>
  <c r="A2" i="1"/>
  <c r="C33" i="1"/>
  <c r="K77" i="1"/>
  <c r="B14" i="1" s="1"/>
  <c r="B19" i="1"/>
  <c r="B37" i="1"/>
  <c r="B24" i="1"/>
  <c r="B44" i="1"/>
  <c r="N75" i="1"/>
  <c r="B9" i="1" s="1"/>
</calcChain>
</file>

<file path=xl/sharedStrings.xml><?xml version="1.0" encoding="utf-8"?>
<sst xmlns="http://schemas.openxmlformats.org/spreadsheetml/2006/main" count="328" uniqueCount="208">
  <si>
    <t>Bundesland</t>
  </si>
  <si>
    <t>Gewässername</t>
  </si>
  <si>
    <t>Gewässerart</t>
  </si>
  <si>
    <t>LAWA-Seen-Subtyp</t>
  </si>
  <si>
    <t>Schichtungsverhalten</t>
  </si>
  <si>
    <t>Untersuchungsjahr</t>
  </si>
  <si>
    <t>Phytoplankton</t>
  </si>
  <si>
    <t>Metazooplankton</t>
  </si>
  <si>
    <t>Gilden-Phyto-BV</t>
  </si>
  <si>
    <t>mm3/l</t>
  </si>
  <si>
    <t>Gilden-Zoo-BV</t>
  </si>
  <si>
    <t>fressbares Phyto-BV</t>
  </si>
  <si>
    <t>Calanoida (o. Nauplien)</t>
  </si>
  <si>
    <t>Grazing-Indizes</t>
  </si>
  <si>
    <t>Effektklasse</t>
  </si>
  <si>
    <t>Z/P</t>
  </si>
  <si>
    <t>MGI</t>
  </si>
  <si>
    <t>Anteile der Gruppen am MGI (partieller MGI)</t>
  </si>
  <si>
    <t>Anteile der Gruppen am Biovolumen</t>
  </si>
  <si>
    <t>pMGI_Cladocera</t>
  </si>
  <si>
    <t>Cladocera</t>
  </si>
  <si>
    <t>pMGI_Copepoda</t>
  </si>
  <si>
    <t>Copepoda</t>
  </si>
  <si>
    <t>pMGI_Rotatoria</t>
  </si>
  <si>
    <t>Rotatoria</t>
  </si>
  <si>
    <t>Spezifische Grazing-Indizes für Zoo-Gruppen</t>
  </si>
  <si>
    <t>CGI - Cladocera</t>
  </si>
  <si>
    <t>CalGI - Calanoida</t>
  </si>
  <si>
    <t>FPI</t>
  </si>
  <si>
    <t>RGI - Rotatoria</t>
  </si>
  <si>
    <t>RaubCladoceren-Index</t>
  </si>
  <si>
    <t>Automatischer Kommentar</t>
  </si>
  <si>
    <t>Diese Arbeitsmappe von Rainer Deneke mit dem saisonalen PhytoLoss-Zooplankton-Steckbrief steht unter der Creative-Commons-Lizenz Namensnennung - Nicht kommerziell - Weitergabe unter gleichen Bedingungen 3.0. DEUTSCHLAND (CC BY-NC-SA 3.0 DE). Hinweis nicht entfernen. Um eine Kopie dieser Lizenz zu sehen, besuchen Sie:</t>
  </si>
  <si>
    <t>http://creativecommons.org/licenses/by-nc-sa/3.0/de</t>
  </si>
  <si>
    <t>Datentransfer-Bereich (nicht löschen!)</t>
  </si>
  <si>
    <t>Saison</t>
  </si>
  <si>
    <t>Seen Subtyp</t>
  </si>
  <si>
    <t>Jahr</t>
  </si>
  <si>
    <t>N1</t>
  </si>
  <si>
    <t>Sommer</t>
  </si>
  <si>
    <t>ST_Som</t>
  </si>
  <si>
    <t>N2</t>
  </si>
  <si>
    <t>Chla_Som</t>
  </si>
  <si>
    <t>N3</t>
  </si>
  <si>
    <t>P_ges_mm3/l_Som</t>
  </si>
  <si>
    <t>P_gild_mm3/l_Som</t>
  </si>
  <si>
    <t>P_ed_mm3/l_Som</t>
  </si>
  <si>
    <t>P_ed_clad_mm3/l_Som</t>
  </si>
  <si>
    <t>P_ed_cal_mm3/l_Som</t>
  </si>
  <si>
    <t>P_ed_cyc_mm3/l_Som</t>
  </si>
  <si>
    <t>P_ed_rot_mm3/l_Som</t>
  </si>
  <si>
    <t>Z_ges_mm3/l_Som</t>
  </si>
  <si>
    <t>Z_gild_mm3/l_Som</t>
  </si>
  <si>
    <t>N4</t>
  </si>
  <si>
    <t>Z_gild_clad%_Som</t>
  </si>
  <si>
    <t>Z_gild_cal_oN_%_Som</t>
  </si>
  <si>
    <t>Z_gild_cyc_oN_%_Som</t>
  </si>
  <si>
    <t>Z_gild_copN_%_Som</t>
  </si>
  <si>
    <t>Z_gild_rot_%_Som</t>
  </si>
  <si>
    <t>FQI%_Som</t>
  </si>
  <si>
    <t>N5</t>
  </si>
  <si>
    <t>FQIC%_Som</t>
  </si>
  <si>
    <t>FQICal_oN%_Som</t>
  </si>
  <si>
    <t>FQICyc_oN%_Som</t>
  </si>
  <si>
    <t>FQIR%_Som</t>
  </si>
  <si>
    <t>Z/P (Jepp) %_Som</t>
  </si>
  <si>
    <t>Z/P_gild_%_Som</t>
  </si>
  <si>
    <t>N6</t>
  </si>
  <si>
    <t>MGI_%_Som</t>
  </si>
  <si>
    <t>pMGI%_Clad_Som</t>
  </si>
  <si>
    <t>pMGI%_Cal_oN_Som</t>
  </si>
  <si>
    <t>pMGI%_Cyc_oN_Som</t>
  </si>
  <si>
    <t>pMGI%_Cop_N_Som</t>
  </si>
  <si>
    <t>pMGI%_Rot_Som</t>
  </si>
  <si>
    <t>CGI%_Som</t>
  </si>
  <si>
    <t>N7</t>
  </si>
  <si>
    <t>Cal_oN_GI%_Som</t>
  </si>
  <si>
    <t>Cyc_oN_GI%_Som</t>
  </si>
  <si>
    <t>RGI%_Som</t>
  </si>
  <si>
    <t>N8</t>
  </si>
  <si>
    <t>RaubClad_%CladBV_Som</t>
  </si>
  <si>
    <t>GewName&amp;Jahr</t>
  </si>
  <si>
    <t>CGI</t>
  </si>
  <si>
    <t>FQIC% (x0,07)</t>
  </si>
  <si>
    <t>FQI% (x0,07)</t>
  </si>
  <si>
    <t>PSI Phyto-See-Index</t>
  </si>
  <si>
    <t>N_Jahr</t>
  </si>
  <si>
    <t>Z_gild_cop_sum_%_Som</t>
  </si>
  <si>
    <t>FQI%Som</t>
  </si>
  <si>
    <t>FQIC%Som</t>
  </si>
  <si>
    <t>FQICal_oN%Som</t>
  </si>
  <si>
    <t>FQICyc_oN%Som</t>
  </si>
  <si>
    <t>FQIR%Som</t>
  </si>
  <si>
    <t>Z/P (Jepp) %_Klasse_Som</t>
  </si>
  <si>
    <t>Z/P-Klasse_Som</t>
  </si>
  <si>
    <t>MGI-Klasse_Som</t>
  </si>
  <si>
    <t>CGI-Klasse_Som</t>
  </si>
  <si>
    <t>Cal_oN_GI-Klasse_Som</t>
  </si>
  <si>
    <t>Cyc_oN_GI-Klasse_Som</t>
  </si>
  <si>
    <t>RGI-Klasse_Som</t>
  </si>
  <si>
    <t>Diff_CGI_Z/P_Som</t>
  </si>
  <si>
    <t>GES-Klasse_Som</t>
  </si>
  <si>
    <t>GES_verbal_Som</t>
  </si>
  <si>
    <t>Cladocera%</t>
  </si>
  <si>
    <t>Calanoida%</t>
  </si>
  <si>
    <t>Cyclopoida%</t>
  </si>
  <si>
    <t>Nauplien%</t>
  </si>
  <si>
    <t>Rotatoria%</t>
  </si>
  <si>
    <t>%</t>
  </si>
  <si>
    <t>MCM (Gilden-TM)</t>
  </si>
  <si>
    <t>µg/Ind</t>
  </si>
  <si>
    <t>FischPrädationsIndex</t>
  </si>
  <si>
    <t>Daphnia &gt; 1mm</t>
  </si>
  <si>
    <t>% Daphnia-TM</t>
  </si>
  <si>
    <t>N</t>
  </si>
  <si>
    <t>(%)</t>
  </si>
  <si>
    <r>
      <t xml:space="preserve">Z/P </t>
    </r>
    <r>
      <rPr>
        <sz val="14"/>
        <color theme="1"/>
        <rFont val="Calibri"/>
        <family val="2"/>
        <scheme val="minor"/>
      </rPr>
      <t>(Gilden-BV)</t>
    </r>
  </si>
  <si>
    <t>Klassendifferenz CGI - Z/P</t>
  </si>
  <si>
    <t>Z/P (Gesamt-BM n. Jeppesen)</t>
  </si>
  <si>
    <r>
      <rPr>
        <b/>
        <sz val="36"/>
        <color rgb="FF0070C0"/>
        <rFont val="Calibri"/>
        <family val="2"/>
        <scheme val="minor"/>
      </rPr>
      <t>PhytoLoss:</t>
    </r>
    <r>
      <rPr>
        <b/>
        <sz val="36"/>
        <rFont val="Calibri"/>
        <family val="2"/>
        <scheme val="minor"/>
      </rPr>
      <t xml:space="preserve">  </t>
    </r>
    <r>
      <rPr>
        <b/>
        <sz val="36"/>
        <color rgb="FFC00000"/>
        <rFont val="Calibri"/>
        <family val="2"/>
        <scheme val="minor"/>
      </rPr>
      <t xml:space="preserve">Zooplankton-Steckbrief </t>
    </r>
  </si>
  <si>
    <t xml:space="preserve">      Copyright-Lizenz: </t>
  </si>
  <si>
    <t>Erläuterung wichtiger Parameter des Zooplankton-Steckbriefs</t>
  </si>
  <si>
    <t>Name</t>
  </si>
  <si>
    <t>Maßeinheit</t>
  </si>
  <si>
    <t>Abkürzung</t>
  </si>
  <si>
    <t>Z/P (Gilden-BV)</t>
  </si>
  <si>
    <t>CSI</t>
  </si>
  <si>
    <t>RCI</t>
  </si>
  <si>
    <t>RGI</t>
  </si>
  <si>
    <t>CalGI</t>
  </si>
  <si>
    <t>GES</t>
  </si>
  <si>
    <t>FQIR</t>
  </si>
  <si>
    <t>FQIC</t>
  </si>
  <si>
    <t>FQI</t>
  </si>
  <si>
    <t>Gruppe</t>
  </si>
  <si>
    <t>(n. Jeppesen)</t>
  </si>
  <si>
    <t>Futterqualität des Phytoplanktons für</t>
  </si>
  <si>
    <t>Metazooplankton (= FQI)</t>
  </si>
  <si>
    <t>Cladocera (= FQIC)</t>
  </si>
  <si>
    <t>Rotatoria (= FQIR)</t>
  </si>
  <si>
    <t>Grazing-Effektstärke (= GES)</t>
  </si>
  <si>
    <t>m</t>
  </si>
  <si>
    <t>Sichtiefe</t>
  </si>
  <si>
    <t>Chlorophyll a</t>
  </si>
  <si>
    <t xml:space="preserve"> µg/l</t>
  </si>
  <si>
    <t>gemittelte Monate</t>
  </si>
  <si>
    <t>CladoceraSizeIndex</t>
  </si>
  <si>
    <t>Zoo_Artenzahl</t>
  </si>
  <si>
    <t>mittl. Artenzahl (n. MBT)</t>
  </si>
  <si>
    <t>in %Clad TM</t>
  </si>
  <si>
    <t>RCI_%CladTM</t>
  </si>
  <si>
    <t>MCM_Gild_TM_Ausprägung</t>
  </si>
  <si>
    <t>MCM_Gilden_TM_Klasse</t>
  </si>
  <si>
    <t>MCM_Gesamt_TM_µg/Ind</t>
  </si>
  <si>
    <t>MCM_Gilden_TM_µg/Ind</t>
  </si>
  <si>
    <t>MCM (Gesamt-Clad-TM)</t>
  </si>
  <si>
    <t>Daphnia&gt;1mm</t>
  </si>
  <si>
    <t>Vergleich der Größen-Indizes der Cladoceren</t>
  </si>
  <si>
    <t>P_gild_mm3/l</t>
  </si>
  <si>
    <t>P_ed_mm3/l</t>
  </si>
  <si>
    <t>Biovolumen der Phytoplankton-Gilden</t>
  </si>
  <si>
    <t>P_ed_clad_mm3/l</t>
  </si>
  <si>
    <t>Futterqualität des Phytoplanktons</t>
  </si>
  <si>
    <t>FQICal_oN</t>
  </si>
  <si>
    <t xml:space="preserve">7-stufig klassifizierte Grazing-Effektstärke, Grazing-Potential als Maximum von Z/P oder MGI </t>
  </si>
  <si>
    <t>Futterqualitätsindex für die Calanoiden(ohne Nauplien), gerundet auf 10%-Stufen)</t>
  </si>
  <si>
    <t>Futterqualitätsindex für die Cladoceren (gerundet auf 10%-Stufen)</t>
  </si>
  <si>
    <t xml:space="preserve">Futterqualitätsindex für das Metazooplankton (gerundet auf 10%-Stufen) </t>
  </si>
  <si>
    <t xml:space="preserve">Futterqualitätsindex für die Rotatorien (gerundet auf 10%-Stufen) </t>
  </si>
  <si>
    <t>Metazooplankton-Grazing-Index,  Grazing-Potential aller Zooplankton-Gilden auf der Basis des fressbaren Phytoplanktons (Z_gild/P_ed)</t>
  </si>
  <si>
    <t>Grazing-Potential nach Jeppesen et al. (1997). Rotatorien-Biomasse wird nicht berücksichtigt,  Copepoden-Biomasse zu 50%</t>
  </si>
  <si>
    <t xml:space="preserve">Grazing-Potential auf der Basis der (gesamten) Zooplankton-Gilden-Biomasse (Z_gild) und der (gesamten) Phytoplankton-Gilden-Biomasse (P_gild) </t>
  </si>
  <si>
    <t>pMGI_Clad</t>
  </si>
  <si>
    <t>pMGI_Cop</t>
  </si>
  <si>
    <t>pMGI_Rot</t>
  </si>
  <si>
    <t>partieller MGI für die Copepoden (ohne Nauplien)</t>
  </si>
  <si>
    <t xml:space="preserve">partieller MGI für die Cladoceren-Gilden </t>
  </si>
  <si>
    <t xml:space="preserve">partieller MGI für die Rotatorien-Gilden </t>
  </si>
  <si>
    <t xml:space="preserve">Positive Differenz zwischen den klassifizierten Werten von CGI und Z/P (Hinweis auf inversen Grazing-Effekt ab &gt;= 3) </t>
  </si>
  <si>
    <t>Cladoceren-Grazing-Index, Grazing-Potential der Cladoceren (Z_gild_clad/P_ed_clad)</t>
  </si>
  <si>
    <t xml:space="preserve">Calanoiden (ohne Nauplien)-Grazing-Index, Potential der Calanoiden(ohne Nauplien) </t>
  </si>
  <si>
    <t xml:space="preserve">Rotatorien-Grazing-Index, Grazing-Potential der Rotatorien (Z_gild_rot/P_ed_rot) </t>
  </si>
  <si>
    <t>Zooplankton-Gilden-Biovolumen, Summe des BV des in Gilden erfassten (herbivoren) Metazooplanktons in mm3/l, ohne Raubcladoceren und Mysida (Z_gild_mm3/l)</t>
  </si>
  <si>
    <t>Anteil der Cladoceren am Metazooplankton-Gilden-Biovolumen</t>
  </si>
  <si>
    <t>Anteil der Copepoden am Metazooplankton-Gilden-Biovolumen</t>
  </si>
  <si>
    <t>Anteil der Rotatorien am Metazooplankton-Gilden-Biovolumen</t>
  </si>
  <si>
    <t>Artenzahl des Metazooplanktons auf der Basis der Mindestbestimmungstiefe (MBT) der 
OTL-MZ V 1.4</t>
  </si>
  <si>
    <t>Metazooplankton-Biomasse</t>
  </si>
  <si>
    <t>fressbares Phytoplankton-Biovolumen</t>
  </si>
  <si>
    <t>fressbares Phytoplankton-Biovolumen für die Cladoceren</t>
  </si>
  <si>
    <t>Daphnien &gt;= 1mm, Anteil an der gesamten Daphnien-Trockenmasse</t>
  </si>
  <si>
    <t>Raubcladoceren-Index, Anteil der Raubcladoceren an der gesamten Cladoceren-Trockenmasse</t>
  </si>
  <si>
    <t xml:space="preserve">Cladocera-Size-Index, Anteil filtrierender Cladoceren am gesamten Crustaceen-Biovolumen (in % BV, ohne Copepoden-Nauplien, mit Raubcladoceren) </t>
  </si>
  <si>
    <t>Mittlere Cladoceren-Masse, Quotient aus geasmten Cladoceren-Trockenmasse und -Abundanz, inkl. Raubcladoceren</t>
  </si>
  <si>
    <t>Mittlere Cladoceren-Masse, Quotient aus der Cladoceren-Gilden-Trockenmasse und -Gilden-Abundanz, ohne Raubcladoceren</t>
  </si>
  <si>
    <t>FPI verbal</t>
  </si>
  <si>
    <t xml:space="preserve">FPI, verbale Beschreibung von 5 Effektklassen ("1 und 2":  gering, "3": schwach, "4": mittel, "5": stark, "6 und 7": sehr stark) </t>
  </si>
  <si>
    <t>Fisch-Prädations-Index (klassifiziert), inverse Klassifizierung des MCM-Gilden Index (7 Klassen in µg/Ind (neue Klassifizierung!) "1":  &gt;20, "2":  &gt;10 - 20, "3":  &gt;5 - 10, "4":  &gt;2,5 - 5, "5":  &gt;1,25 - 2,5, "6":  &gt;0,6125 - 1,25, "7":  &lt;=0,6125)</t>
  </si>
  <si>
    <t>mittl. Artenzahl /Termin</t>
  </si>
  <si>
    <t>% Crustaceen-BV</t>
  </si>
  <si>
    <t>fressb. Phyto-BV f. Cladocera</t>
  </si>
  <si>
    <t>Vergleich der Größenindizes der Cladoceren</t>
  </si>
  <si>
    <t>IGE-Indikator (inverser Grazing-Effekt ab &gt;= 3 )</t>
  </si>
  <si>
    <t>MCM (Gesamt-TM)</t>
  </si>
  <si>
    <r>
      <t xml:space="preserve">(nach </t>
    </r>
    <r>
      <rPr>
        <b/>
        <sz val="12"/>
        <color rgb="FFFF0000"/>
        <rFont val="Calibri"/>
        <family val="2"/>
        <scheme val="minor"/>
      </rPr>
      <t>M</t>
    </r>
    <r>
      <rPr>
        <b/>
        <sz val="12"/>
        <color theme="1"/>
        <rFont val="Calibri"/>
        <family val="2"/>
        <scheme val="minor"/>
      </rPr>
      <t>indest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>estimmung</t>
    </r>
    <r>
      <rPr>
        <b/>
        <sz val="12"/>
        <color rgb="FFFF0000"/>
        <rFont val="Calibri"/>
        <family val="2"/>
        <scheme val="minor"/>
      </rPr>
      <t>T</t>
    </r>
    <r>
      <rPr>
        <b/>
        <sz val="12"/>
        <color theme="1"/>
        <rFont val="Calibri"/>
        <family val="2"/>
        <scheme val="minor"/>
      </rPr>
      <t>iefe)</t>
    </r>
  </si>
  <si>
    <r>
      <rPr>
        <b/>
        <sz val="11"/>
        <color theme="1"/>
        <rFont val="Calibri"/>
        <family val="2"/>
        <scheme val="minor"/>
      </rPr>
      <t>Z/P</t>
    </r>
    <r>
      <rPr>
        <sz val="11"/>
        <color theme="1"/>
        <rFont val="Calibri"/>
        <family val="2"/>
        <scheme val="minor"/>
      </rPr>
      <t xml:space="preserve">     Ein hoher Z/P-Wert indiziert einen
           starken Fraßdruck auf das gesamte
           Phytoplankton</t>
    </r>
    <r>
      <rPr>
        <sz val="8"/>
        <color theme="1"/>
        <rFont val="Calibri"/>
        <family val="2"/>
        <scheme val="minor"/>
      </rPr>
      <t xml:space="preserve">
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MGI</t>
    </r>
    <r>
      <rPr>
        <sz val="11"/>
        <color theme="1"/>
        <rFont val="Calibri"/>
        <family val="2"/>
        <scheme val="minor"/>
      </rPr>
      <t xml:space="preserve">    Ein hoher MGI-Wert indiziert einen
           starken Fraßdruck auf das fressbare
           Phytoplankton
</t>
    </r>
    <r>
      <rPr>
        <b/>
        <sz val="11"/>
        <color theme="1"/>
        <rFont val="Calibri"/>
        <family val="2"/>
        <scheme val="minor"/>
      </rPr>
      <t xml:space="preserve">CGI </t>
    </r>
    <r>
      <rPr>
        <sz val="11"/>
        <color theme="1"/>
        <rFont val="Calibri"/>
        <family val="2"/>
        <scheme val="minor"/>
      </rPr>
      <t xml:space="preserve">    Ein hoher CGI-Wert indiziert einen
           starken Fraßdruck auf das für
           Cladoceren fressbare Phytoplankton 
</t>
    </r>
    <r>
      <rPr>
        <b/>
        <sz val="11"/>
        <color theme="1"/>
        <rFont val="Calibri"/>
        <family val="2"/>
        <scheme val="minor"/>
      </rPr>
      <t>FQI</t>
    </r>
    <r>
      <rPr>
        <sz val="11"/>
        <color theme="1"/>
        <rFont val="Calibri"/>
        <family val="2"/>
        <scheme val="minor"/>
      </rPr>
      <t xml:space="preserve">     Ein hoher FQI- bzw. FQIC-Wert
</t>
    </r>
    <r>
      <rPr>
        <b/>
        <sz val="11"/>
        <color theme="1"/>
        <rFont val="Calibri"/>
        <family val="2"/>
        <scheme val="minor"/>
      </rPr>
      <t>FQIC</t>
    </r>
    <r>
      <rPr>
        <sz val="11"/>
        <color theme="1"/>
        <rFont val="Calibri"/>
        <family val="2"/>
        <scheme val="minor"/>
      </rPr>
      <t xml:space="preserve">   indizieren eine sehr gute Futter-
           qualität für das Metazooplankton 
           bzw. die Cladoceren
</t>
    </r>
    <r>
      <rPr>
        <b/>
        <sz val="11"/>
        <color theme="1"/>
        <rFont val="Calibri"/>
        <family val="2"/>
        <scheme val="minor"/>
      </rPr>
      <t>FPI</t>
    </r>
    <r>
      <rPr>
        <sz val="11"/>
        <color theme="1"/>
        <rFont val="Calibri"/>
        <family val="2"/>
        <scheme val="minor"/>
      </rPr>
      <t xml:space="preserve">      Ein hoher FPI-Wert indiziert einen
           starken Fraßdruck der Fische auf die
           Cladoceren, d.h. der MCM ist klein </t>
    </r>
  </si>
  <si>
    <t>Stand:    01.Mai 2023</t>
  </si>
  <si>
    <r>
      <t xml:space="preserve">Z/P </t>
    </r>
    <r>
      <rPr>
        <sz val="11"/>
        <color theme="1"/>
        <rFont val="Calibri"/>
        <family val="2"/>
        <scheme val="minor"/>
      </rPr>
      <t>(Gilden-BV)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</si>
</sst>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.000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MS Sans Serif"/>
      <family val="2"/>
    </font>
    <font>
      <sz val="10"/>
      <name val="Arial"/>
      <family val="2"/>
    </font>
    <font>
      <sz val="8"/>
      <name val="MS Sans Serif"/>
      <family val="2"/>
    </font>
    <font>
      <b/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color rgb="FF0070C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rgb="FF89410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894105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FFD9B3"/>
        <bgColor indexed="64"/>
      </patternFill>
    </fill>
    <fill>
      <patternFill patternType="solid">
        <fgColor rgb="FFF5F8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rgb="FFB2B2B2"/>
      </patternFill>
    </fill>
    <fill>
      <patternFill patternType="solid">
        <fgColor theme="0" tint="-0.34998626667073579"/>
        <bgColor rgb="FFA6A6A6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14" fillId="4" borderId="0" xfId="2" applyFont="1" applyFill="1" applyAlignment="1">
      <alignment horizontal="left" vertical="center"/>
    </xf>
    <xf numFmtId="0" fontId="14" fillId="4" borderId="0" xfId="2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0" fontId="14" fillId="4" borderId="0" xfId="2" applyFont="1" applyFill="1" applyAlignment="1">
      <alignment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right"/>
    </xf>
    <xf numFmtId="4" fontId="14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left"/>
    </xf>
    <xf numFmtId="165" fontId="15" fillId="4" borderId="0" xfId="0" applyNumberFormat="1" applyFont="1" applyFill="1" applyAlignment="1">
      <alignment horizontal="left"/>
    </xf>
    <xf numFmtId="165" fontId="15" fillId="4" borderId="0" xfId="0" applyNumberFormat="1" applyFont="1" applyFill="1"/>
    <xf numFmtId="165" fontId="1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center"/>
    </xf>
    <xf numFmtId="164" fontId="15" fillId="4" borderId="0" xfId="0" applyNumberFormat="1" applyFont="1" applyFill="1"/>
    <xf numFmtId="164" fontId="15" fillId="4" borderId="0" xfId="0" applyNumberFormat="1" applyFont="1" applyFill="1" applyAlignment="1">
      <alignment horizontal="right"/>
    </xf>
    <xf numFmtId="1" fontId="13" fillId="0" borderId="0" xfId="0" applyNumberFormat="1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1" fontId="8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5" borderId="0" xfId="0" applyNumberFormat="1" applyFont="1" applyFill="1" applyAlignment="1">
      <alignment horizontal="left" vertical="center"/>
    </xf>
    <xf numFmtId="1" fontId="8" fillId="9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6" borderId="0" xfId="0" applyFont="1" applyFill="1" applyAlignment="1">
      <alignment vertical="center"/>
    </xf>
    <xf numFmtId="0" fontId="8" fillId="11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2" fillId="7" borderId="0" xfId="0" applyFont="1" applyFill="1"/>
    <xf numFmtId="0" fontId="5" fillId="8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3" fillId="11" borderId="0" xfId="0" applyFont="1" applyFill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17" fillId="12" borderId="0" xfId="0" applyFont="1" applyFill="1"/>
    <xf numFmtId="0" fontId="8" fillId="12" borderId="0" xfId="0" applyFont="1" applyFill="1"/>
    <xf numFmtId="0" fontId="28" fillId="14" borderId="0" xfId="0" applyFont="1" applyFill="1"/>
    <xf numFmtId="14" fontId="29" fillId="14" borderId="0" xfId="0" applyNumberFormat="1" applyFont="1" applyFill="1"/>
    <xf numFmtId="0" fontId="8" fillId="7" borderId="0" xfId="0" applyFont="1" applyFill="1" applyAlignment="1">
      <alignment vertical="center"/>
    </xf>
    <xf numFmtId="1" fontId="12" fillId="7" borderId="0" xfId="0" applyNumberFormat="1" applyFont="1" applyFill="1" applyAlignment="1">
      <alignment horizontal="center" vertical="center"/>
    </xf>
    <xf numFmtId="0" fontId="30" fillId="15" borderId="0" xfId="0" applyFont="1" applyFill="1"/>
    <xf numFmtId="0" fontId="30" fillId="15" borderId="0" xfId="0" applyFont="1" applyFill="1" applyAlignment="1">
      <alignment horizontal="center"/>
    </xf>
    <xf numFmtId="0" fontId="8" fillId="16" borderId="0" xfId="0" applyFont="1" applyFill="1" applyAlignment="1">
      <alignment vertical="center"/>
    </xf>
    <xf numFmtId="0" fontId="5" fillId="16" borderId="0" xfId="0" applyFont="1" applyFill="1" applyAlignment="1">
      <alignment horizontal="center" vertical="center" wrapText="1"/>
    </xf>
    <xf numFmtId="0" fontId="17" fillId="17" borderId="0" xfId="0" applyFont="1" applyFill="1" applyAlignment="1">
      <alignment vertical="center"/>
    </xf>
    <xf numFmtId="0" fontId="18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8" fillId="17" borderId="0" xfId="0" applyFont="1" applyFill="1" applyAlignment="1">
      <alignment horizontal="left" vertical="center"/>
    </xf>
    <xf numFmtId="1" fontId="18" fillId="17" borderId="0" xfId="0" applyNumberFormat="1" applyFont="1" applyFill="1" applyAlignment="1">
      <alignment horizontal="center" vertical="center"/>
    </xf>
    <xf numFmtId="1" fontId="8" fillId="17" borderId="0" xfId="0" applyNumberFormat="1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0" fillId="16" borderId="0" xfId="0" applyFill="1" applyAlignment="1">
      <alignment vertical="center"/>
    </xf>
    <xf numFmtId="0" fontId="17" fillId="17" borderId="0" xfId="0" applyFont="1" applyFill="1" applyAlignment="1">
      <alignment horizontal="left" vertical="center"/>
    </xf>
    <xf numFmtId="1" fontId="9" fillId="18" borderId="0" xfId="0" applyNumberFormat="1" applyFont="1" applyFill="1" applyAlignment="1">
      <alignment horizontal="center" vertical="center"/>
    </xf>
    <xf numFmtId="1" fontId="9" fillId="17" borderId="0" xfId="0" applyNumberFormat="1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7" fillId="7" borderId="0" xfId="0" applyFont="1" applyFill="1" applyAlignment="1">
      <alignment vertical="center"/>
    </xf>
    <xf numFmtId="1" fontId="18" fillId="7" borderId="0" xfId="0" applyNumberFormat="1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0" fillId="18" borderId="0" xfId="0" applyFill="1" applyAlignment="1">
      <alignment vertical="center"/>
    </xf>
    <xf numFmtId="0" fontId="5" fillId="18" borderId="0" xfId="0" applyFont="1" applyFill="1" applyAlignment="1">
      <alignment vertical="center"/>
    </xf>
    <xf numFmtId="0" fontId="8" fillId="18" borderId="0" xfId="0" applyFont="1" applyFill="1" applyAlignment="1">
      <alignment vertical="center"/>
    </xf>
    <xf numFmtId="0" fontId="8" fillId="18" borderId="0" xfId="0" applyFont="1" applyFill="1"/>
    <xf numFmtId="2" fontId="8" fillId="18" borderId="0" xfId="0" applyNumberFormat="1" applyFont="1" applyFill="1" applyAlignment="1">
      <alignment horizontal="center"/>
    </xf>
    <xf numFmtId="0" fontId="0" fillId="18" borderId="0" xfId="0" applyFill="1"/>
    <xf numFmtId="0" fontId="21" fillId="18" borderId="0" xfId="0" applyFont="1" applyFill="1" applyAlignment="1">
      <alignment vertical="center"/>
    </xf>
    <xf numFmtId="0" fontId="7" fillId="18" borderId="0" xfId="0" applyFont="1" applyFill="1" applyAlignment="1">
      <alignment horizontal="center" vertical="center"/>
    </xf>
    <xf numFmtId="0" fontId="0" fillId="18" borderId="0" xfId="0" applyFill="1" applyAlignment="1">
      <alignment horizontal="center"/>
    </xf>
    <xf numFmtId="0" fontId="17" fillId="9" borderId="0" xfId="0" applyFont="1" applyFill="1" applyAlignment="1">
      <alignment vertical="center"/>
    </xf>
    <xf numFmtId="0" fontId="17" fillId="12" borderId="0" xfId="0" applyFont="1" applyFill="1" applyAlignment="1">
      <alignment horizontal="center"/>
    </xf>
    <xf numFmtId="14" fontId="9" fillId="18" borderId="0" xfId="0" applyNumberFormat="1" applyFont="1" applyFill="1"/>
    <xf numFmtId="0" fontId="9" fillId="18" borderId="0" xfId="0" applyFont="1" applyFill="1"/>
    <xf numFmtId="1" fontId="8" fillId="18" borderId="0" xfId="0" applyNumberFormat="1" applyFont="1" applyFill="1" applyAlignment="1">
      <alignment horizontal="center"/>
    </xf>
    <xf numFmtId="0" fontId="5" fillId="18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8" fillId="18" borderId="0" xfId="0" applyFont="1" applyFill="1" applyAlignment="1">
      <alignment horizontal="left" vertical="center"/>
    </xf>
    <xf numFmtId="1" fontId="8" fillId="18" borderId="0" xfId="0" applyNumberFormat="1" applyFont="1" applyFill="1" applyAlignment="1">
      <alignment horizontal="center" vertical="center"/>
    </xf>
    <xf numFmtId="0" fontId="9" fillId="18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/>
    </xf>
    <xf numFmtId="1" fontId="8" fillId="18" borderId="0" xfId="0" applyNumberFormat="1" applyFont="1" applyFill="1" applyAlignment="1">
      <alignment horizontal="left" vertical="center"/>
    </xf>
    <xf numFmtId="0" fontId="10" fillId="18" borderId="0" xfId="0" applyFont="1" applyFill="1"/>
    <xf numFmtId="0" fontId="8" fillId="1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5" fontId="17" fillId="9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166" fontId="17" fillId="12" borderId="0" xfId="0" applyNumberFormat="1" applyFont="1" applyFill="1" applyAlignment="1">
      <alignment horizontal="center"/>
    </xf>
    <xf numFmtId="166" fontId="9" fillId="1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18" borderId="0" xfId="0" applyFont="1" applyFill="1" applyAlignment="1">
      <alignment vertical="top"/>
    </xf>
    <xf numFmtId="1" fontId="8" fillId="9" borderId="0" xfId="0" applyNumberFormat="1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1" fontId="8" fillId="16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27" fillId="5" borderId="0" xfId="0" applyFont="1" applyFill="1"/>
    <xf numFmtId="0" fontId="19" fillId="5" borderId="0" xfId="0" applyFont="1" applyFill="1"/>
    <xf numFmtId="0" fontId="0" fillId="9" borderId="0" xfId="0" applyFill="1" applyAlignment="1">
      <alignment vertical="center"/>
    </xf>
    <xf numFmtId="165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32" fillId="19" borderId="0" xfId="0" applyFont="1" applyFill="1" applyAlignment="1">
      <alignment vertical="center"/>
    </xf>
    <xf numFmtId="0" fontId="32" fillId="19" borderId="0" xfId="0" applyFont="1" applyFill="1" applyAlignment="1">
      <alignment horizontal="center" vertical="center"/>
    </xf>
    <xf numFmtId="1" fontId="32" fillId="19" borderId="0" xfId="0" applyNumberFormat="1" applyFont="1" applyFill="1" applyAlignment="1">
      <alignment horizontal="center" vertical="center"/>
    </xf>
    <xf numFmtId="1" fontId="33" fillId="19" borderId="0" xfId="0" applyNumberFormat="1" applyFont="1" applyFill="1" applyAlignment="1">
      <alignment horizontal="left" vertical="center"/>
    </xf>
    <xf numFmtId="1" fontId="31" fillId="19" borderId="0" xfId="0" applyNumberFormat="1" applyFont="1" applyFill="1" applyAlignment="1">
      <alignment horizontal="left" vertical="center"/>
    </xf>
    <xf numFmtId="1" fontId="34" fillId="5" borderId="0" xfId="0" applyNumberFormat="1" applyFont="1" applyFill="1" applyAlignment="1">
      <alignment horizontal="left" vertical="center"/>
    </xf>
    <xf numFmtId="0" fontId="34" fillId="5" borderId="0" xfId="0" applyFont="1" applyFill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Alignment="1">
      <alignment horizontal="center" vertical="center"/>
    </xf>
    <xf numFmtId="0" fontId="0" fillId="0" borderId="0" xfId="0" quotePrefix="1"/>
    <xf numFmtId="0" fontId="14" fillId="4" borderId="0" xfId="2" applyFont="1" applyFill="1" applyAlignment="1">
      <alignment horizontal="center" vertical="center"/>
    </xf>
    <xf numFmtId="0" fontId="14" fillId="20" borderId="0" xfId="0" applyFont="1" applyFill="1" applyAlignment="1">
      <alignment horizontal="right" vertical="center"/>
    </xf>
    <xf numFmtId="164" fontId="14" fillId="20" borderId="0" xfId="0" applyNumberFormat="1" applyFont="1" applyFill="1" applyAlignment="1">
      <alignment horizontal="right" vertical="center"/>
    </xf>
    <xf numFmtId="164" fontId="14" fillId="20" borderId="0" xfId="0" applyNumberFormat="1" applyFont="1" applyFill="1"/>
    <xf numFmtId="0" fontId="14" fillId="21" borderId="0" xfId="0" applyFont="1" applyFill="1"/>
    <xf numFmtId="0" fontId="15" fillId="4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0" fillId="0" borderId="0" xfId="0"/>
    <xf numFmtId="0" fontId="16" fillId="0" borderId="0" xfId="1" applyFont="1" applyAlignment="1" applyProtection="1">
      <alignment horizontal="center"/>
    </xf>
    <xf numFmtId="1" fontId="8" fillId="9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vertical="center"/>
    </xf>
    <xf numFmtId="1" fontId="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1" fontId="8" fillId="18" borderId="0" xfId="0" applyNumberFormat="1" applyFont="1" applyFill="1" applyAlignment="1">
      <alignment horizontal="center"/>
    </xf>
    <xf numFmtId="1" fontId="9" fillId="18" borderId="0" xfId="0" applyNumberFormat="1" applyFont="1" applyFill="1"/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22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6" fontId="17" fillId="9" borderId="0" xfId="0" applyNumberFormat="1" applyFont="1" applyFill="1" applyAlignment="1">
      <alignment horizontal="center" vertical="center"/>
    </xf>
    <xf numFmtId="166" fontId="20" fillId="9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9" fillId="18" borderId="0" xfId="0" applyFont="1" applyFill="1" applyAlignment="1">
      <alignment horizontal="center" vertical="center"/>
    </xf>
    <xf numFmtId="0" fontId="0" fillId="18" borderId="0" xfId="0" applyFill="1"/>
    <xf numFmtId="0" fontId="26" fillId="13" borderId="0" xfId="0" applyFont="1" applyFill="1"/>
    <xf numFmtId="0" fontId="19" fillId="13" borderId="0" xfId="0" applyFont="1" applyFill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12" borderId="0" xfId="0" applyFont="1" applyFill="1"/>
    <xf numFmtId="0" fontId="5" fillId="7" borderId="0" xfId="0" applyFont="1" applyFill="1" applyAlignment="1">
      <alignment vertical="center"/>
    </xf>
    <xf numFmtId="0" fontId="5" fillId="16" borderId="0" xfId="0" applyFont="1" applyFill="1" applyAlignment="1">
      <alignment vertical="center"/>
    </xf>
    <xf numFmtId="0" fontId="5" fillId="17" borderId="0" xfId="0" applyFont="1" applyFill="1" applyAlignment="1">
      <alignment vertical="center"/>
    </xf>
    <xf numFmtId="0" fontId="5" fillId="17" borderId="0" xfId="0" applyFont="1" applyFill="1" applyAlignment="1">
      <alignment horizontal="left" vertical="center"/>
    </xf>
    <xf numFmtId="0" fontId="5" fillId="18" borderId="0" xfId="0" applyFont="1" applyFill="1" applyAlignment="1">
      <alignment horizontal="left" vertical="center"/>
    </xf>
    <xf numFmtId="0" fontId="5" fillId="0" borderId="0" xfId="0" applyFont="1"/>
    <xf numFmtId="0" fontId="37" fillId="13" borderId="0" xfId="0" applyFont="1" applyFill="1"/>
    <xf numFmtId="0" fontId="38" fillId="14" borderId="0" xfId="0" applyFont="1" applyFill="1"/>
    <xf numFmtId="0" fontId="39" fillId="15" borderId="0" xfId="0" applyFont="1" applyFill="1"/>
    <xf numFmtId="0" fontId="39" fillId="15" borderId="0" xfId="0" applyFont="1" applyFill="1" applyAlignment="1">
      <alignment vertical="center"/>
    </xf>
    <xf numFmtId="0" fontId="40" fillId="5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1" fontId="5" fillId="9" borderId="0" xfId="0" applyNumberFormat="1" applyFont="1" applyFill="1" applyAlignment="1">
      <alignment horizontal="left" vertical="center"/>
    </xf>
    <xf numFmtId="1" fontId="5" fillId="5" borderId="0" xfId="0" applyNumberFormat="1" applyFont="1" applyFill="1" applyAlignment="1">
      <alignment horizontal="left" vertical="center"/>
    </xf>
    <xf numFmtId="0" fontId="0" fillId="9" borderId="0" xfId="0" applyFont="1" applyFill="1" applyAlignment="1">
      <alignment vertical="center"/>
    </xf>
    <xf numFmtId="0" fontId="31" fillId="19" borderId="0" xfId="0" applyFont="1" applyFill="1" applyAlignment="1">
      <alignment vertical="center"/>
    </xf>
    <xf numFmtId="1" fontId="40" fillId="5" borderId="0" xfId="0" applyNumberFormat="1" applyFont="1" applyFill="1" applyAlignment="1">
      <alignment horizontal="left" vertical="center"/>
    </xf>
    <xf numFmtId="0" fontId="31" fillId="19" borderId="0" xfId="0" applyFont="1" applyFill="1" applyAlignment="1">
      <alignment horizontal="left" vertical="center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7"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66FF"/>
        </patternFill>
      </fill>
    </dxf>
    <dxf>
      <fill>
        <patternFill>
          <bgColor rgb="FFFF66FF"/>
        </patternFill>
      </fill>
    </dxf>
    <dxf>
      <font>
        <b/>
        <i val="0"/>
      </font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9" defaultPivotStyle="PivotStyleLight16"/>
  <colors>
    <mruColors>
      <color rgb="FFC00000"/>
      <color rgb="FF0000C0"/>
      <color rgb="FF0000FF"/>
      <color rgb="FFFEF2E8"/>
      <color rgb="FFFFD9B3"/>
      <color rgb="FFFF66FF"/>
      <color rgb="FF4BD0FF"/>
      <color rgb="FFDCE6F1"/>
      <color rgb="FFBD92DE"/>
      <color rgb="FFF5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600" b="1"/>
              <a:t>%-Anteile der Zoo-Gruppen am MGI</a:t>
            </a:r>
          </a:p>
        </c:rich>
      </c:tx>
      <c:layout>
        <c:manualLayout>
          <c:xMode val="edge"/>
          <c:yMode val="edge"/>
          <c:x val="0.15347211294693591"/>
          <c:y val="0.8988793469041560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049801741808"/>
          <c:y val="3.5576759966072943E-2"/>
          <c:w val="0.53726537955479181"/>
          <c:h val="0.84852841391009326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9E-450A-9A77-01924608E9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9E-450A-9A77-01924608E9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9E-450A-9A77-01924608E98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9E-450A-9A77-01924608E98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E9E-450A-9A77-01924608E98C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Zoo_Steckbrief!$L$102:$P$102</c:f>
              <c:strCache>
                <c:ptCount val="5"/>
                <c:pt idx="0">
                  <c:v>Cladocera%</c:v>
                </c:pt>
                <c:pt idx="1">
                  <c:v>Calanoida%</c:v>
                </c:pt>
                <c:pt idx="2">
                  <c:v>Cyclopoida%</c:v>
                </c:pt>
                <c:pt idx="3">
                  <c:v>Nauplien%</c:v>
                </c:pt>
                <c:pt idx="4">
                  <c:v>Rotatoria%</c:v>
                </c:pt>
              </c:strCache>
            </c:strRef>
          </c:cat>
          <c:val>
            <c:numRef>
              <c:f>Zoo_Steckbrief!$L$103:$P$103</c:f>
              <c:numCache>
                <c:formatCode>0.0_ ;[Red]\-0.0\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9E-450A-9A77-01924608E9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%-Anteile der Zoo-Gruppen am Biovol.</a:t>
            </a:r>
          </a:p>
        </c:rich>
      </c:tx>
      <c:layout>
        <c:manualLayout>
          <c:xMode val="edge"/>
          <c:yMode val="edge"/>
          <c:x val="0.14875100612423447"/>
          <c:y val="0.9072839506172839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94034490932079"/>
          <c:y val="4.3987284557553727E-2"/>
          <c:w val="0.53820832390471962"/>
          <c:h val="0.83284831868129583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9-47D0-ADBB-573A2099B2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29-47D0-ADBB-573A2099B2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29-47D0-ADBB-573A2099B2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29-47D0-ADBB-573A2099B25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129-47D0-ADBB-573A2099B25B}"/>
              </c:ext>
            </c:extLst>
          </c:dPt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 vertOverflow="overflow" horzOverflow="overflow" wrap="square" lIns="38100" tIns="19050" rIns="38100" bIns="19050" anchor="ctr">
                  <a:spAutoFit/>
                </a:bodyPr>
                <a:lstStyle/>
                <a:p>
                  <a:pPr>
                    <a:defRPr sz="1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129-47D0-ADBB-573A2099B25B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8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129-47D0-ADBB-573A2099B25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Zoo_Steckbrief!$I$100:$M$100</c:f>
              <c:strCache>
                <c:ptCount val="5"/>
                <c:pt idx="0">
                  <c:v>Cladocera%</c:v>
                </c:pt>
                <c:pt idx="1">
                  <c:v>Calanoida%</c:v>
                </c:pt>
                <c:pt idx="2">
                  <c:v>Cyclopoida%</c:v>
                </c:pt>
                <c:pt idx="3">
                  <c:v>Nauplien%</c:v>
                </c:pt>
                <c:pt idx="4">
                  <c:v>Rotatoria%</c:v>
                </c:pt>
              </c:strCache>
            </c:strRef>
          </c:cat>
          <c:val>
            <c:numRef>
              <c:f>Zoo_Steckbrief!$I$101:$M$101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29-47D0-ADBB-573A2099B2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1200"/>
            </a:pPr>
            <a:endParaRPr lang="de-DE"/>
          </a:p>
        </c:txPr>
      </c:legendEntry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Grazing-Indizes (klassifizierte Mittelwerte)</a:t>
            </a:r>
          </a:p>
        </c:rich>
      </c:tx>
      <c:layout>
        <c:manualLayout>
          <c:xMode val="edge"/>
          <c:yMode val="edge"/>
          <c:x val="0.12872524880445091"/>
          <c:y val="2.720646349723610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986941895386699"/>
          <c:y val="0.22289720371909572"/>
          <c:w val="0.38963139416974835"/>
          <c:h val="0.69896165346397632"/>
        </c:manualLayout>
      </c:layout>
      <c:radarChart>
        <c:radarStyle val="marker"/>
        <c:varyColors val="0"/>
        <c:ser>
          <c:idx val="0"/>
          <c:order val="0"/>
          <c:tx>
            <c:strRef>
              <c:f>Zoo_Steckbrief!$K$89</c:f>
              <c:strCache>
                <c:ptCount val="1"/>
                <c:pt idx="0">
                  <c:v>#BEZUG!</c:v>
                </c:pt>
              </c:strCache>
            </c:strRef>
          </c:tx>
          <c:spPr>
            <a:ln w="41275" cmpd="sng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Zoo_Steckbrief!$L$88:$Q$88</c:f>
              <c:strCache>
                <c:ptCount val="6"/>
                <c:pt idx="0">
                  <c:v>Z/P</c:v>
                </c:pt>
                <c:pt idx="1">
                  <c:v>CGI</c:v>
                </c:pt>
                <c:pt idx="2">
                  <c:v>FQIC% (x0,07)</c:v>
                </c:pt>
                <c:pt idx="3">
                  <c:v>FPI</c:v>
                </c:pt>
                <c:pt idx="4">
                  <c:v>FQI% (x0,07)</c:v>
                </c:pt>
                <c:pt idx="5">
                  <c:v>MGI</c:v>
                </c:pt>
              </c:strCache>
            </c:strRef>
          </c:cat>
          <c:val>
            <c:numRef>
              <c:f>Zoo_Steckbrief!$L$89:$Q$89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E-4F47-BF8F-65896BE5E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386024"/>
        <c:axId val="572386416"/>
      </c:radarChart>
      <c:catAx>
        <c:axId val="572386024"/>
        <c:scaling>
          <c:orientation val="minMax"/>
        </c:scaling>
        <c:delete val="0"/>
        <c:axPos val="b"/>
        <c:majorGridlines>
          <c:spPr>
            <a:ln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572386416"/>
        <c:crosses val="autoZero"/>
        <c:auto val="0"/>
        <c:lblAlgn val="ctr"/>
        <c:lblOffset val="100"/>
        <c:noMultiLvlLbl val="0"/>
      </c:catAx>
      <c:valAx>
        <c:axId val="572386416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572386024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</c:legendEntry>
      <c:layout>
        <c:manualLayout>
          <c:xMode val="edge"/>
          <c:yMode val="edge"/>
          <c:x val="0.62540297052993843"/>
          <c:y val="0.29470503177776258"/>
          <c:w val="0.35342944557817446"/>
          <c:h val="0.2055066356142101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Zooplankton_Steckbrief_Sommer!B84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25</xdr:row>
      <xdr:rowOff>44822</xdr:rowOff>
    </xdr:from>
    <xdr:to>
      <xdr:col>7</xdr:col>
      <xdr:colOff>35859</xdr:colOff>
      <xdr:row>36</xdr:row>
      <xdr:rowOff>195097</xdr:rowOff>
    </xdr:to>
    <xdr:graphicFrame macro="">
      <xdr:nvGraphicFramePr>
        <xdr:cNvPr id="1295" name="Diagramm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11206</xdr:colOff>
      <xdr:row>3</xdr:row>
      <xdr:rowOff>26332</xdr:rowOff>
    </xdr:from>
    <xdr:to>
      <xdr:col>7</xdr:col>
      <xdr:colOff>5601</xdr:colOff>
      <xdr:row>17</xdr:row>
      <xdr:rowOff>8965</xdr:rowOff>
    </xdr:to>
    <xdr:graphicFrame macro="">
      <xdr:nvGraphicFramePr>
        <xdr:cNvPr id="1296" name="Diagramm 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19040</xdr:colOff>
      <xdr:row>47</xdr:row>
      <xdr:rowOff>12325</xdr:rowOff>
    </xdr:from>
    <xdr:to>
      <xdr:col>3</xdr:col>
      <xdr:colOff>1783978</xdr:colOff>
      <xdr:row>69</xdr:row>
      <xdr:rowOff>8965</xdr:rowOff>
    </xdr:to>
    <xdr:graphicFrame macro="">
      <xdr:nvGraphicFramePr>
        <xdr:cNvPr id="1297" name="Diagramm 5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766482</xdr:colOff>
      <xdr:row>2</xdr:row>
      <xdr:rowOff>28575</xdr:rowOff>
    </xdr:from>
    <xdr:to>
      <xdr:col>3</xdr:col>
      <xdr:colOff>1715060</xdr:colOff>
      <xdr:row>2</xdr:row>
      <xdr:rowOff>212911</xdr:rowOff>
    </xdr:to>
    <xdr:pic>
      <xdr:nvPicPr>
        <xdr:cNvPr id="1298" name="Grafik 6" descr="by-nc-sa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1247" y="891428"/>
          <a:ext cx="948578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0.66375</cdr:x>
      <cdr:y>0.7425</cdr:y>
    </cdr:from>
    <cdr:to>
      <cdr:x>0.66375</cdr:x>
      <cdr:y>0.74445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8D949CC8-F336-41B2-875C-83F3B5808D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667652" y="2990850"/>
          <a:ext cx="2682472" cy="142049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nc-sa/3.0/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0.39997558519241921"/>
    <pageSetUpPr fitToPage="1"/>
  </sheetPr>
  <dimension ref="A1:X106"/>
  <sheetViews>
    <sheetView zoomScale="85" zoomScaleNormal="85" workbookViewId="0">
      <selection activeCell="B4" sqref="B4"/>
    </sheetView>
  </sheetViews>
  <sheetFormatPr baseColWidth="10" defaultRowHeight="15" x14ac:dyDescent="0.25"/>
  <cols>
    <col min="1" max="1" width="29.5703125" customWidth="1"/>
    <col min="2" max="2" width="27.42578125" customWidth="1"/>
    <col min="3" max="3" width="11.5703125" customWidth="1"/>
    <col min="4" max="4" width="26.140625" customWidth="1"/>
    <col min="5" max="5" width="14" customWidth="1"/>
    <col min="6" max="6" width="8" customWidth="1"/>
    <col min="7" max="7" width="17.140625" customWidth="1"/>
    <col min="9" max="17" width="3.7109375" customWidth="1"/>
  </cols>
  <sheetData>
    <row r="1" spans="1:7" ht="40.5" customHeight="1" x14ac:dyDescent="0.25">
      <c r="A1" s="147" t="s">
        <v>119</v>
      </c>
      <c r="B1" s="148"/>
      <c r="C1" s="148"/>
      <c r="D1" s="148"/>
      <c r="E1" s="148"/>
      <c r="F1" s="148"/>
      <c r="G1" s="148"/>
    </row>
    <row r="2" spans="1:7" s="5" customFormat="1" ht="27.75" customHeight="1" x14ac:dyDescent="0.25">
      <c r="A2" s="154" t="e">
        <f ca="1">I106</f>
        <v>#REF!</v>
      </c>
      <c r="B2" s="155"/>
      <c r="C2" s="156" t="e">
        <f ca="1">J106</f>
        <v>#REF!</v>
      </c>
      <c r="D2" s="156"/>
      <c r="E2" s="156"/>
      <c r="F2" s="156"/>
      <c r="G2" s="156"/>
    </row>
    <row r="3" spans="1:7" ht="18.75" customHeight="1" x14ac:dyDescent="0.25">
      <c r="A3" s="34"/>
      <c r="B3" s="34" t="s">
        <v>206</v>
      </c>
      <c r="C3" s="34" t="s">
        <v>120</v>
      </c>
      <c r="D3" s="24"/>
      <c r="E3" s="25"/>
      <c r="F3" s="25"/>
      <c r="G3" s="25"/>
    </row>
    <row r="4" spans="1:7" ht="8.25" customHeight="1" x14ac:dyDescent="0.25">
      <c r="A4" s="80"/>
      <c r="B4" s="80"/>
      <c r="C4" s="81"/>
      <c r="D4" s="79"/>
      <c r="E4" s="82"/>
      <c r="F4" s="82"/>
      <c r="G4" s="82"/>
    </row>
    <row r="5" spans="1:7" ht="27.75" customHeight="1" x14ac:dyDescent="0.25">
      <c r="A5" s="76" t="s">
        <v>0</v>
      </c>
      <c r="B5" s="159" t="e">
        <f ca="1">J75</f>
        <v>#REF!</v>
      </c>
      <c r="C5" s="160"/>
      <c r="D5" s="79"/>
      <c r="E5" s="79"/>
      <c r="F5" s="79"/>
      <c r="G5" s="79"/>
    </row>
    <row r="6" spans="1:7" ht="47.25" customHeight="1" x14ac:dyDescent="0.25">
      <c r="A6" s="27" t="s">
        <v>1</v>
      </c>
      <c r="B6" s="157" t="e">
        <f ca="1">K75</f>
        <v>#REF!</v>
      </c>
      <c r="C6" s="158"/>
    </row>
    <row r="7" spans="1:7" ht="15.75" x14ac:dyDescent="0.25">
      <c r="A7" s="76" t="s">
        <v>2</v>
      </c>
      <c r="B7" s="73" t="e">
        <f ca="1">M75</f>
        <v>#REF!</v>
      </c>
      <c r="C7" s="74"/>
    </row>
    <row r="8" spans="1:7" ht="15.75" x14ac:dyDescent="0.25">
      <c r="A8" s="76" t="s">
        <v>3</v>
      </c>
      <c r="B8" s="73" t="e">
        <f ca="1">L75</f>
        <v>#REF!</v>
      </c>
      <c r="C8" s="74"/>
    </row>
    <row r="9" spans="1:7" ht="16.5" customHeight="1" x14ac:dyDescent="0.25">
      <c r="A9" s="76" t="s">
        <v>4</v>
      </c>
      <c r="B9" s="73" t="e">
        <f ca="1">N75</f>
        <v>#REF!</v>
      </c>
      <c r="C9" s="75"/>
    </row>
    <row r="10" spans="1:7" ht="17.25" customHeight="1" x14ac:dyDescent="0.25">
      <c r="A10" s="35" t="s">
        <v>5</v>
      </c>
      <c r="B10" s="41" t="e">
        <f ca="1">O75</f>
        <v>#REF!</v>
      </c>
      <c r="C10" s="35"/>
    </row>
    <row r="11" spans="1:7" ht="15.75" x14ac:dyDescent="0.25">
      <c r="A11" s="26" t="s">
        <v>145</v>
      </c>
      <c r="B11" s="73" t="e">
        <f ca="1">P75</f>
        <v>#REF!</v>
      </c>
      <c r="C11" s="74"/>
    </row>
    <row r="12" spans="1:7" ht="8.1" customHeight="1" x14ac:dyDescent="0.25">
      <c r="A12" s="76"/>
      <c r="B12" s="163"/>
      <c r="C12" s="164"/>
    </row>
    <row r="13" spans="1:7" ht="15.75" x14ac:dyDescent="0.25">
      <c r="A13" s="36" t="s">
        <v>142</v>
      </c>
      <c r="B13" s="44" t="e">
        <f ca="1">I77</f>
        <v>#REF!</v>
      </c>
      <c r="C13" s="43" t="s">
        <v>141</v>
      </c>
    </row>
    <row r="14" spans="1:7" ht="15.75" x14ac:dyDescent="0.25">
      <c r="A14" s="36" t="s">
        <v>143</v>
      </c>
      <c r="B14" s="44" t="e">
        <f ca="1">K77</f>
        <v>#REF!</v>
      </c>
      <c r="C14" s="43" t="s">
        <v>144</v>
      </c>
    </row>
    <row r="15" spans="1:7" ht="15.75" x14ac:dyDescent="0.25">
      <c r="A15" s="76" t="s">
        <v>145</v>
      </c>
      <c r="B15" s="73" t="e">
        <f ca="1">L77</f>
        <v>#REF!</v>
      </c>
      <c r="C15" s="74"/>
    </row>
    <row r="16" spans="1:7" ht="6.75" customHeight="1" x14ac:dyDescent="0.25">
      <c r="A16" s="77"/>
      <c r="B16" s="78"/>
      <c r="C16" s="79"/>
    </row>
    <row r="17" spans="1:7" ht="6.75" customHeight="1" x14ac:dyDescent="0.25">
      <c r="A17" s="79"/>
      <c r="B17" s="79"/>
      <c r="C17" s="79"/>
      <c r="D17" s="79"/>
      <c r="E17" s="79"/>
      <c r="F17" s="79"/>
      <c r="G17" s="79"/>
    </row>
    <row r="18" spans="1:7" ht="22.5" customHeight="1" x14ac:dyDescent="0.35">
      <c r="A18" s="161" t="s">
        <v>6</v>
      </c>
      <c r="B18" s="162"/>
      <c r="C18" s="162"/>
      <c r="D18" s="112" t="s">
        <v>7</v>
      </c>
      <c r="E18" s="113"/>
      <c r="F18" s="113"/>
      <c r="G18" s="113"/>
    </row>
    <row r="19" spans="1:7" ht="18.75" x14ac:dyDescent="0.3">
      <c r="A19" s="45" t="s">
        <v>8</v>
      </c>
      <c r="B19" s="101" t="e">
        <f ca="1">N77</f>
        <v>#REF!</v>
      </c>
      <c r="C19" s="84" t="s">
        <v>9</v>
      </c>
      <c r="D19" s="83" t="s">
        <v>10</v>
      </c>
      <c r="E19" s="152" t="e">
        <f ca="1">K93</f>
        <v>#REF!</v>
      </c>
      <c r="F19" s="153"/>
      <c r="G19" s="93" t="s">
        <v>9</v>
      </c>
    </row>
    <row r="20" spans="1:7" ht="18.75" x14ac:dyDescent="0.25">
      <c r="A20" s="46" t="s">
        <v>11</v>
      </c>
      <c r="B20" s="102" t="e">
        <f ca="1">O77</f>
        <v>#REF!</v>
      </c>
      <c r="C20" s="71" t="s">
        <v>9</v>
      </c>
      <c r="D20" s="111" t="s">
        <v>18</v>
      </c>
      <c r="E20" s="109"/>
      <c r="F20" s="108"/>
      <c r="G20" s="108"/>
    </row>
    <row r="21" spans="1:7" ht="15.75" customHeight="1" x14ac:dyDescent="0.25">
      <c r="A21" s="46" t="s">
        <v>200</v>
      </c>
      <c r="B21" s="102" t="e">
        <f ca="1">I79</f>
        <v>#REF!</v>
      </c>
      <c r="C21" s="71" t="s">
        <v>9</v>
      </c>
      <c r="D21" s="32" t="s">
        <v>20</v>
      </c>
      <c r="E21" s="137" t="e">
        <f ca="1">L93</f>
        <v>#REF!</v>
      </c>
      <c r="F21" s="138"/>
      <c r="G21" s="106" t="s">
        <v>108</v>
      </c>
    </row>
    <row r="22" spans="1:7" ht="15.75" x14ac:dyDescent="0.25">
      <c r="A22" s="77"/>
      <c r="B22" s="85"/>
      <c r="C22" s="86"/>
      <c r="D22" s="31" t="s">
        <v>22</v>
      </c>
      <c r="E22" s="139" t="e">
        <f ca="1">M93</f>
        <v>#REF!</v>
      </c>
      <c r="F22" s="140"/>
      <c r="G22" s="107" t="s">
        <v>108</v>
      </c>
    </row>
    <row r="23" spans="1:7" ht="18.75" x14ac:dyDescent="0.3">
      <c r="A23" s="47" t="s">
        <v>136</v>
      </c>
      <c r="B23" s="48"/>
      <c r="C23" s="48"/>
      <c r="D23" s="32" t="s">
        <v>24</v>
      </c>
      <c r="E23" s="137" t="e">
        <f ca="1">N93</f>
        <v>#REF!</v>
      </c>
      <c r="F23" s="138"/>
      <c r="G23" s="106" t="s">
        <v>108</v>
      </c>
    </row>
    <row r="24" spans="1:7" ht="20.25" customHeight="1" x14ac:dyDescent="0.25">
      <c r="A24" s="69" t="s">
        <v>137</v>
      </c>
      <c r="B24" s="70" t="e">
        <f ca="1">O93</f>
        <v>#REF!</v>
      </c>
      <c r="C24" s="72" t="s">
        <v>108</v>
      </c>
      <c r="D24" s="77" t="s">
        <v>198</v>
      </c>
      <c r="E24" s="143" t="e">
        <f ca="1">I105</f>
        <v>#REF!</v>
      </c>
      <c r="F24" s="144"/>
      <c r="G24" s="92" t="s">
        <v>114</v>
      </c>
    </row>
    <row r="25" spans="1:7" ht="26.25" x14ac:dyDescent="0.25">
      <c r="A25" s="69" t="s">
        <v>138</v>
      </c>
      <c r="B25" s="50" t="e">
        <f ca="1">I95</f>
        <v>#REF!</v>
      </c>
      <c r="C25" s="72" t="s">
        <v>108</v>
      </c>
      <c r="D25" s="105" t="s">
        <v>204</v>
      </c>
      <c r="E25" s="79"/>
      <c r="F25" s="79"/>
      <c r="G25" s="79"/>
    </row>
    <row r="26" spans="1:7" ht="15.75" x14ac:dyDescent="0.25">
      <c r="A26" s="49" t="s">
        <v>12</v>
      </c>
      <c r="B26" s="42" t="e">
        <f ca="1">J95</f>
        <v>#REF!</v>
      </c>
      <c r="C26" s="72" t="s">
        <v>108</v>
      </c>
    </row>
    <row r="27" spans="1:7" ht="15.75" x14ac:dyDescent="0.25">
      <c r="A27" s="49" t="s">
        <v>139</v>
      </c>
      <c r="B27" s="42" t="e">
        <f ca="1">L95</f>
        <v>#REF!</v>
      </c>
      <c r="C27" s="72" t="s">
        <v>108</v>
      </c>
    </row>
    <row r="28" spans="1:7" ht="15.75" x14ac:dyDescent="0.25">
      <c r="A28" s="77"/>
      <c r="B28" s="87"/>
      <c r="C28" s="79"/>
    </row>
    <row r="29" spans="1:7" ht="18.75" x14ac:dyDescent="0.3">
      <c r="A29" s="51" t="s">
        <v>13</v>
      </c>
      <c r="B29" s="52" t="s">
        <v>14</v>
      </c>
      <c r="C29" s="52"/>
      <c r="D29" s="2"/>
    </row>
    <row r="30" spans="1:7" ht="26.25" x14ac:dyDescent="0.25">
      <c r="A30" s="53" t="s">
        <v>140</v>
      </c>
      <c r="B30" s="68" t="e">
        <f ca="1">L99</f>
        <v>#REF!</v>
      </c>
      <c r="C30" s="54"/>
    </row>
    <row r="31" spans="1:7" ht="23.25" x14ac:dyDescent="0.25">
      <c r="A31" s="55" t="s">
        <v>116</v>
      </c>
      <c r="B31" s="56" t="e">
        <f ca="1">N95</f>
        <v>#REF!</v>
      </c>
      <c r="C31" s="57" t="e">
        <f ca="1">ROUND(N83,0) &amp; " %"</f>
        <v>#REF!</v>
      </c>
      <c r="D31" s="1"/>
    </row>
    <row r="32" spans="1:7" ht="15.75" customHeight="1" x14ac:dyDescent="0.25">
      <c r="A32" s="75" t="s">
        <v>118</v>
      </c>
      <c r="B32" s="88" t="e">
        <f ca="1">M95</f>
        <v>#REF!</v>
      </c>
      <c r="C32" s="89" t="e">
        <f ca="1">ROUND(M83,0) &amp; " %"</f>
        <v>#REF!</v>
      </c>
      <c r="D32" s="1"/>
    </row>
    <row r="33" spans="1:8" ht="23.25" x14ac:dyDescent="0.3">
      <c r="A33" s="55" t="s">
        <v>16</v>
      </c>
      <c r="B33" s="56" t="e">
        <f ca="1">O95</f>
        <v>#REF!</v>
      </c>
      <c r="C33" s="57" t="e">
        <f ca="1">ROUND(I85,0) &amp; " %"</f>
        <v>#REF!</v>
      </c>
      <c r="D33" s="4"/>
      <c r="F33" s="2"/>
      <c r="G33" s="2"/>
    </row>
    <row r="34" spans="1:8" ht="18.75" customHeight="1" x14ac:dyDescent="0.3">
      <c r="A34" s="51" t="s">
        <v>17</v>
      </c>
      <c r="B34" s="51"/>
      <c r="C34" s="51"/>
      <c r="E34" s="28"/>
      <c r="F34" s="29"/>
      <c r="G34" s="29"/>
    </row>
    <row r="35" spans="1:8" ht="23.25" x14ac:dyDescent="0.25">
      <c r="A35" s="58" t="s">
        <v>19</v>
      </c>
      <c r="B35" s="59" t="e">
        <f ca="1">I97</f>
        <v>#REF!</v>
      </c>
      <c r="C35" s="57" t="s">
        <v>108</v>
      </c>
      <c r="E35" s="28"/>
      <c r="F35" s="30"/>
      <c r="G35" s="30"/>
    </row>
    <row r="36" spans="1:8" ht="15.75" x14ac:dyDescent="0.25">
      <c r="A36" s="90" t="s">
        <v>21</v>
      </c>
      <c r="B36" s="91" t="e">
        <f ca="1">J97+K97+L97</f>
        <v>#REF!</v>
      </c>
      <c r="C36" s="73" t="s">
        <v>108</v>
      </c>
      <c r="D36" s="79"/>
      <c r="E36" s="94"/>
      <c r="F36" s="91"/>
      <c r="G36" s="91"/>
    </row>
    <row r="37" spans="1:8" ht="15.75" customHeight="1" x14ac:dyDescent="0.3">
      <c r="A37" s="58" t="s">
        <v>23</v>
      </c>
      <c r="B37" s="60" t="e">
        <f ca="1">M97</f>
        <v>#REF!</v>
      </c>
      <c r="C37" s="57" t="s">
        <v>108</v>
      </c>
      <c r="D37" s="95"/>
      <c r="E37" s="79"/>
      <c r="F37" s="79"/>
      <c r="G37" s="79"/>
    </row>
    <row r="38" spans="1:8" ht="21" x14ac:dyDescent="0.3">
      <c r="A38" s="51" t="s">
        <v>202</v>
      </c>
      <c r="B38" s="51"/>
      <c r="C38" s="51"/>
      <c r="D38" s="141" t="s">
        <v>201</v>
      </c>
      <c r="E38" s="142"/>
      <c r="F38" s="142"/>
      <c r="G38" s="142"/>
    </row>
    <row r="39" spans="1:8" ht="18.75" customHeight="1" x14ac:dyDescent="0.25">
      <c r="A39" s="53" t="s">
        <v>117</v>
      </c>
      <c r="B39" s="61" t="e">
        <f ca="1">K99</f>
        <v>#REF!</v>
      </c>
      <c r="C39" s="62"/>
      <c r="D39" s="83" t="s">
        <v>109</v>
      </c>
      <c r="E39" s="99" t="e">
        <f ca="1">M87</f>
        <v>#REF!</v>
      </c>
      <c r="F39" s="93" t="s">
        <v>110</v>
      </c>
      <c r="G39" s="97"/>
    </row>
    <row r="40" spans="1:8" ht="15.75" x14ac:dyDescent="0.25">
      <c r="A40" s="77"/>
      <c r="B40" s="92"/>
      <c r="C40" s="79"/>
      <c r="D40" s="114" t="s">
        <v>203</v>
      </c>
      <c r="E40" s="115" t="e">
        <f ca="1">O87</f>
        <v>#REF!</v>
      </c>
      <c r="F40" s="116" t="s">
        <v>110</v>
      </c>
      <c r="G40" s="117" t="s">
        <v>135</v>
      </c>
    </row>
    <row r="41" spans="1:8" ht="18.75" x14ac:dyDescent="0.3">
      <c r="A41" s="51" t="s">
        <v>25</v>
      </c>
      <c r="B41" s="51"/>
      <c r="C41" s="52" t="s">
        <v>115</v>
      </c>
      <c r="D41" s="125" t="s">
        <v>30</v>
      </c>
      <c r="E41" s="107" t="e">
        <f ca="1">P99</f>
        <v>#REF!</v>
      </c>
      <c r="F41" s="126" t="s">
        <v>127</v>
      </c>
      <c r="G41" s="125" t="s">
        <v>149</v>
      </c>
      <c r="H41" s="3"/>
    </row>
    <row r="42" spans="1:8" ht="26.25" x14ac:dyDescent="0.25">
      <c r="A42" s="63" t="s">
        <v>26</v>
      </c>
      <c r="B42" s="67" t="e">
        <f ca="1">N97</f>
        <v>#REF!</v>
      </c>
      <c r="C42" s="65" t="e">
        <f ca="1">O85</f>
        <v>#REF!</v>
      </c>
      <c r="D42" s="118" t="s">
        <v>111</v>
      </c>
      <c r="E42" s="98" t="e">
        <f ca="1">N99</f>
        <v>#REF!</v>
      </c>
      <c r="F42" s="119" t="s">
        <v>28</v>
      </c>
      <c r="G42" s="120" t="e">
        <f ca="1">O99</f>
        <v>#REF!</v>
      </c>
    </row>
    <row r="43" spans="1:8" ht="15.75" customHeight="1" x14ac:dyDescent="0.25">
      <c r="A43" s="90" t="s">
        <v>27</v>
      </c>
      <c r="B43" s="96" t="e">
        <f ca="1">O97</f>
        <v>#REF!</v>
      </c>
      <c r="C43" s="64" t="e">
        <f ca="1">J87</f>
        <v>#REF!</v>
      </c>
      <c r="D43" s="123" t="s">
        <v>146</v>
      </c>
      <c r="E43" s="107" t="e">
        <f ca="1">J105</f>
        <v>#REF!</v>
      </c>
      <c r="F43" s="124" t="s">
        <v>199</v>
      </c>
      <c r="G43" s="109"/>
      <c r="H43" s="23"/>
    </row>
    <row r="44" spans="1:8" ht="15.75" x14ac:dyDescent="0.25">
      <c r="A44" s="58" t="s">
        <v>29</v>
      </c>
      <c r="B44" s="66" t="e">
        <f ca="1">J99</f>
        <v>#REF!</v>
      </c>
      <c r="C44" s="65" t="e">
        <f ca="1">L87</f>
        <v>#REF!</v>
      </c>
      <c r="D44" s="121" t="s">
        <v>112</v>
      </c>
      <c r="E44" s="110" t="e">
        <f ca="1">K105</f>
        <v>#REF!</v>
      </c>
      <c r="F44" s="122" t="s">
        <v>113</v>
      </c>
      <c r="G44" s="121"/>
    </row>
    <row r="45" spans="1:8" ht="15" customHeight="1" x14ac:dyDescent="0.25">
      <c r="A45" s="149" t="s">
        <v>31</v>
      </c>
      <c r="B45" s="150" t="e">
        <f ca="1">INDIRECT("PL_Kommentare!E"&amp;_xlfn.SHEET()+1)</f>
        <v>#REF!</v>
      </c>
      <c r="C45" s="151"/>
      <c r="D45" s="151"/>
      <c r="E45" s="151"/>
      <c r="F45" s="151"/>
      <c r="G45" s="151"/>
    </row>
    <row r="46" spans="1:8" x14ac:dyDescent="0.25">
      <c r="A46" s="149"/>
      <c r="B46" s="151"/>
      <c r="C46" s="151"/>
      <c r="D46" s="151"/>
      <c r="E46" s="151"/>
      <c r="F46" s="151"/>
      <c r="G46" s="151"/>
    </row>
    <row r="47" spans="1:8" ht="110.25" customHeight="1" x14ac:dyDescent="0.25">
      <c r="A47" s="149"/>
      <c r="B47" s="151"/>
      <c r="C47" s="151"/>
      <c r="D47" s="151"/>
      <c r="E47" s="151"/>
      <c r="F47" s="151"/>
      <c r="G47" s="151"/>
    </row>
    <row r="48" spans="1:8" x14ac:dyDescent="0.25">
      <c r="E48" s="145" t="s">
        <v>205</v>
      </c>
      <c r="F48" s="146"/>
      <c r="G48" s="146"/>
    </row>
    <row r="49" spans="5:7" x14ac:dyDescent="0.25">
      <c r="E49" s="146"/>
      <c r="F49" s="146"/>
      <c r="G49" s="146"/>
    </row>
    <row r="50" spans="5:7" x14ac:dyDescent="0.25">
      <c r="E50" s="146"/>
      <c r="F50" s="146"/>
      <c r="G50" s="146"/>
    </row>
    <row r="51" spans="5:7" x14ac:dyDescent="0.25">
      <c r="E51" s="146"/>
      <c r="F51" s="146"/>
      <c r="G51" s="146"/>
    </row>
    <row r="52" spans="5:7" x14ac:dyDescent="0.25">
      <c r="E52" s="146"/>
      <c r="F52" s="146"/>
      <c r="G52" s="146"/>
    </row>
    <row r="53" spans="5:7" x14ac:dyDescent="0.25">
      <c r="E53" s="146"/>
      <c r="F53" s="146"/>
      <c r="G53" s="146"/>
    </row>
    <row r="54" spans="5:7" x14ac:dyDescent="0.25">
      <c r="E54" s="146"/>
      <c r="F54" s="146"/>
      <c r="G54" s="146"/>
    </row>
    <row r="55" spans="5:7" x14ac:dyDescent="0.25">
      <c r="E55" s="146"/>
      <c r="F55" s="146"/>
      <c r="G55" s="146"/>
    </row>
    <row r="56" spans="5:7" x14ac:dyDescent="0.25">
      <c r="E56" s="146"/>
      <c r="F56" s="146"/>
      <c r="G56" s="146"/>
    </row>
    <row r="57" spans="5:7" x14ac:dyDescent="0.25">
      <c r="E57" s="146"/>
      <c r="F57" s="146"/>
      <c r="G57" s="146"/>
    </row>
    <row r="58" spans="5:7" x14ac:dyDescent="0.25">
      <c r="E58" s="146"/>
      <c r="F58" s="146"/>
      <c r="G58" s="146"/>
    </row>
    <row r="59" spans="5:7" x14ac:dyDescent="0.25">
      <c r="E59" s="146"/>
      <c r="F59" s="146"/>
      <c r="G59" s="146"/>
    </row>
    <row r="60" spans="5:7" x14ac:dyDescent="0.25">
      <c r="E60" s="146"/>
      <c r="F60" s="146"/>
      <c r="G60" s="146"/>
    </row>
    <row r="61" spans="5:7" x14ac:dyDescent="0.25">
      <c r="E61" s="146"/>
      <c r="F61" s="146"/>
      <c r="G61" s="146"/>
    </row>
    <row r="62" spans="5:7" x14ac:dyDescent="0.25">
      <c r="E62" s="146"/>
      <c r="F62" s="146"/>
      <c r="G62" s="146"/>
    </row>
    <row r="63" spans="5:7" x14ac:dyDescent="0.25">
      <c r="E63" s="146"/>
      <c r="F63" s="146"/>
      <c r="G63" s="146"/>
    </row>
    <row r="64" spans="5:7" x14ac:dyDescent="0.25">
      <c r="E64" s="146"/>
      <c r="F64" s="146"/>
      <c r="G64" s="146"/>
    </row>
    <row r="65" spans="2:24" x14ac:dyDescent="0.25">
      <c r="E65" s="146"/>
      <c r="F65" s="146"/>
      <c r="G65" s="146"/>
    </row>
    <row r="66" spans="2:24" x14ac:dyDescent="0.25">
      <c r="E66" s="146"/>
      <c r="F66" s="146"/>
      <c r="G66" s="146"/>
    </row>
    <row r="67" spans="2:24" x14ac:dyDescent="0.25">
      <c r="E67" s="146"/>
      <c r="F67" s="146"/>
      <c r="G67" s="146"/>
    </row>
    <row r="68" spans="2:24" x14ac:dyDescent="0.25">
      <c r="E68" s="146"/>
      <c r="F68" s="146"/>
      <c r="G68" s="146"/>
    </row>
    <row r="69" spans="2:24" x14ac:dyDescent="0.25">
      <c r="E69" s="146"/>
      <c r="F69" s="146"/>
      <c r="G69" s="146"/>
    </row>
    <row r="70" spans="2:24" ht="61.5" customHeight="1" x14ac:dyDescent="0.25">
      <c r="B70" s="134" t="s">
        <v>32</v>
      </c>
      <c r="C70" s="135"/>
      <c r="D70" s="135"/>
      <c r="E70" s="135"/>
      <c r="S70" s="127"/>
      <c r="T70" s="127"/>
      <c r="W70" s="127"/>
      <c r="X70" s="127"/>
    </row>
    <row r="71" spans="2:24" x14ac:dyDescent="0.25">
      <c r="B71" s="136" t="s">
        <v>33</v>
      </c>
      <c r="C71" s="135"/>
      <c r="D71" s="135"/>
      <c r="E71" s="135"/>
      <c r="T71" s="127"/>
      <c r="W71" s="127"/>
    </row>
    <row r="72" spans="2:24" x14ac:dyDescent="0.25">
      <c r="T72" s="127"/>
      <c r="W72" s="127"/>
    </row>
    <row r="73" spans="2:24" x14ac:dyDescent="0.25">
      <c r="I73" t="s">
        <v>34</v>
      </c>
      <c r="T73" s="127"/>
      <c r="W73" s="127"/>
    </row>
    <row r="74" spans="2:24" ht="9" customHeight="1" x14ac:dyDescent="0.25">
      <c r="I74" s="6" t="s">
        <v>35</v>
      </c>
      <c r="J74" s="6" t="s">
        <v>0</v>
      </c>
      <c r="K74" s="6" t="s">
        <v>1</v>
      </c>
      <c r="L74" s="6" t="s">
        <v>36</v>
      </c>
      <c r="M74" s="6" t="s">
        <v>2</v>
      </c>
      <c r="N74" s="6" t="s">
        <v>4</v>
      </c>
      <c r="O74" s="7" t="s">
        <v>37</v>
      </c>
      <c r="P74" s="7" t="s">
        <v>38</v>
      </c>
      <c r="Q74" s="8"/>
      <c r="T74" s="127"/>
      <c r="W74" s="127"/>
    </row>
    <row r="75" spans="2:24" ht="9" customHeight="1" x14ac:dyDescent="0.25">
      <c r="I75" s="6" t="s">
        <v>39</v>
      </c>
      <c r="J75" s="9" t="e">
        <f ca="1">INDIRECT("Datenvorbereitung!A"&amp;_xlfn.SHEET()+1)</f>
        <v>#REF!</v>
      </c>
      <c r="K75" s="9" t="e">
        <f ca="1">INDIRECT("Datenvorbereitung!B"&amp;_xlfn.SHEET()+1)</f>
        <v>#REF!</v>
      </c>
      <c r="L75" s="9" t="e">
        <f ca="1">IF(K106=0,"-",K106)</f>
        <v>#REF!</v>
      </c>
      <c r="M75" s="9" t="e">
        <f ca="1">IF(L106=0,"-",L106)</f>
        <v>#REF!</v>
      </c>
      <c r="N75" s="9" t="e">
        <f ca="1">IF(M106=0,"-",M106)</f>
        <v>#REF!</v>
      </c>
      <c r="O75" s="7" t="e">
        <f ca="1">INDIRECT("Datenvorbereitung!F"&amp;_xlfn.SHEET()+1)</f>
        <v>#REF!</v>
      </c>
      <c r="P75" s="7" t="e">
        <f ca="1">INDIRECT("Datenvorbereitung!G"&amp;_xlfn.SHEET()+1)</f>
        <v>#REF!</v>
      </c>
      <c r="Q75" s="8"/>
      <c r="T75" s="127"/>
      <c r="W75" s="127"/>
    </row>
    <row r="76" spans="2:24" ht="9" customHeight="1" x14ac:dyDescent="0.25">
      <c r="I76" s="6" t="s">
        <v>40</v>
      </c>
      <c r="J76" s="6" t="s">
        <v>41</v>
      </c>
      <c r="K76" s="6" t="s">
        <v>42</v>
      </c>
      <c r="L76" s="6" t="s">
        <v>43</v>
      </c>
      <c r="M76" s="6" t="s">
        <v>44</v>
      </c>
      <c r="N76" s="6" t="s">
        <v>45</v>
      </c>
      <c r="O76" s="7" t="s">
        <v>46</v>
      </c>
      <c r="P76" s="7"/>
      <c r="Q76" s="7"/>
    </row>
    <row r="77" spans="2:24" ht="9" customHeight="1" x14ac:dyDescent="0.25">
      <c r="I77" s="128" t="e">
        <f ca="1">IF(N105=0,"-",N105)</f>
        <v>#REF!</v>
      </c>
      <c r="J77" s="7" t="e">
        <f ca="1">INDIRECT("Datenvorbereitung!i"&amp;_xlfn.SHEET()+1)</f>
        <v>#REF!</v>
      </c>
      <c r="K77" s="128" t="e">
        <f ca="1">IF(O105=0,"-",O105)</f>
        <v>#REF!</v>
      </c>
      <c r="L77" s="7" t="e">
        <f ca="1">INDIRECT("Datenvorbereitung!K"&amp;_xlfn.SHEET()+1)</f>
        <v>#REF!</v>
      </c>
      <c r="M77" s="7" t="e">
        <f ca="1">INDIRECT("Datenvorbereitung!l"&amp;_xlfn.SHEET()+1)</f>
        <v>#REF!</v>
      </c>
      <c r="N77" s="7" t="e">
        <f ca="1">INDIRECT("Datenvorbereitung!m"&amp;_xlfn.SHEET()+1)</f>
        <v>#REF!</v>
      </c>
      <c r="O77" s="7" t="e">
        <f ca="1">INDIRECT("Datenvorbereitung!n"&amp;_xlfn.SHEET()+1)</f>
        <v>#REF!</v>
      </c>
      <c r="P77" s="7"/>
      <c r="Q77" s="7"/>
    </row>
    <row r="78" spans="2:24" ht="9" customHeight="1" x14ac:dyDescent="0.25">
      <c r="I78" s="6" t="s">
        <v>47</v>
      </c>
      <c r="J78" s="6" t="s">
        <v>48</v>
      </c>
      <c r="K78" s="6" t="s">
        <v>49</v>
      </c>
      <c r="L78" s="6" t="s">
        <v>50</v>
      </c>
      <c r="M78" s="6" t="s">
        <v>51</v>
      </c>
      <c r="N78" s="6" t="s">
        <v>52</v>
      </c>
      <c r="O78" s="7" t="s">
        <v>53</v>
      </c>
      <c r="P78" s="7"/>
      <c r="Q78" s="7"/>
    </row>
    <row r="79" spans="2:24" ht="9" customHeight="1" x14ac:dyDescent="0.25">
      <c r="I79" s="6" t="e">
        <f ca="1">INDIRECT("Datenvorbereitung!o"&amp;_xlfn.SHEET()+1)</f>
        <v>#REF!</v>
      </c>
      <c r="J79" s="7" t="e">
        <f ca="1">INDIRECT("Datenvorbereitung!p"&amp;_xlfn.SHEET()+1)</f>
        <v>#REF!</v>
      </c>
      <c r="K79" s="7" t="e">
        <f ca="1">INDIRECT("Datenvorbereitung!q"&amp;_xlfn.SHEET()+1)</f>
        <v>#REF!</v>
      </c>
      <c r="L79" s="7" t="e">
        <f ca="1">INDIRECT("Datenvorbereitung!r"&amp;_xlfn.SHEET()+1)</f>
        <v>#REF!</v>
      </c>
      <c r="M79" s="7" t="e">
        <f ca="1">INDIRECT("Datenvorbereitung!s"&amp;_xlfn.SHEET()+1)</f>
        <v>#REF!</v>
      </c>
      <c r="N79" s="7" t="e">
        <f ca="1">INDIRECT("Datenvorbereitung!t"&amp;_xlfn.SHEET()+1)</f>
        <v>#REF!</v>
      </c>
      <c r="O79" s="7" t="e">
        <f ca="1">INDIRECT("Datenvorbereitung!u"&amp;_xlfn.SHEET()+1)</f>
        <v>#REF!</v>
      </c>
      <c r="P79" s="7"/>
      <c r="Q79" s="7"/>
    </row>
    <row r="80" spans="2:24" ht="9" customHeight="1" x14ac:dyDescent="0.25">
      <c r="I80" s="6" t="s">
        <v>54</v>
      </c>
      <c r="J80" s="6" t="s">
        <v>55</v>
      </c>
      <c r="K80" s="6" t="s">
        <v>56</v>
      </c>
      <c r="L80" s="6" t="s">
        <v>57</v>
      </c>
      <c r="M80" s="6" t="s">
        <v>58</v>
      </c>
      <c r="N80" s="6" t="s">
        <v>59</v>
      </c>
      <c r="O80" s="7" t="s">
        <v>60</v>
      </c>
      <c r="P80" s="7"/>
      <c r="Q80" s="7"/>
    </row>
    <row r="81" spans="9:17" ht="9" customHeight="1" x14ac:dyDescent="0.25">
      <c r="I81" s="6" t="e">
        <f ca="1">INDIRECT("Datenvorbereitung!v"&amp;_xlfn.SHEET()+1)</f>
        <v>#REF!</v>
      </c>
      <c r="J81" s="7" t="e">
        <f ca="1">INDIRECT("Datenvorbereitung!w"&amp;_xlfn.SHEET()+1)</f>
        <v>#REF!</v>
      </c>
      <c r="K81" s="7" t="e">
        <f ca="1">INDIRECT("Datenvorbereitung!x"&amp;_xlfn.SHEET()+1)</f>
        <v>#REF!</v>
      </c>
      <c r="L81" s="7" t="e">
        <f ca="1">INDIRECT("Datenvorbereitung!y"&amp;_xlfn.SHEET()+1)</f>
        <v>#REF!</v>
      </c>
      <c r="M81" s="7" t="e">
        <f ca="1">INDIRECT("Datenvorbereitung!z"&amp;_xlfn.SHEET()+1)</f>
        <v>#REF!</v>
      </c>
      <c r="N81" s="7" t="e">
        <f ca="1">INDIRECT("Datenvorbereitung!aa"&amp;_xlfn.SHEET()+1)</f>
        <v>#REF!</v>
      </c>
      <c r="O81" s="7" t="e">
        <f ca="1">INDIRECT("Datenvorbereitung!ab"&amp;_xlfn.SHEET()+1)</f>
        <v>#REF!</v>
      </c>
      <c r="P81" s="7"/>
      <c r="Q81" s="7"/>
    </row>
    <row r="82" spans="9:17" ht="9" customHeight="1" x14ac:dyDescent="0.25">
      <c r="I82" s="6" t="s">
        <v>61</v>
      </c>
      <c r="J82" s="6" t="s">
        <v>62</v>
      </c>
      <c r="K82" s="6" t="s">
        <v>63</v>
      </c>
      <c r="L82" s="6" t="s">
        <v>64</v>
      </c>
      <c r="M82" s="6" t="s">
        <v>65</v>
      </c>
      <c r="N82" s="6" t="s">
        <v>66</v>
      </c>
      <c r="O82" s="7" t="s">
        <v>67</v>
      </c>
      <c r="P82" s="7"/>
      <c r="Q82" s="7"/>
    </row>
    <row r="83" spans="9:17" ht="9" customHeight="1" x14ac:dyDescent="0.25">
      <c r="I83" s="6" t="e">
        <f ca="1">INDIRECT("Datenvorbereitung!ac"&amp;_xlfn.SHEET()+1)</f>
        <v>#REF!</v>
      </c>
      <c r="J83" s="7" t="e">
        <f ca="1">INDIRECT("Datenvorbereitung!ad"&amp;_xlfn.SHEET()+1)</f>
        <v>#REF!</v>
      </c>
      <c r="K83" s="7" t="e">
        <f ca="1">INDIRECT("Datenvorbereitung!ae"&amp;_xlfn.SHEET()+1)</f>
        <v>#REF!</v>
      </c>
      <c r="L83" s="7" t="e">
        <f ca="1">INDIRECT("Datenvorbereitung!af"&amp;_xlfn.SHEET()+1)</f>
        <v>#REF!</v>
      </c>
      <c r="M83" s="7" t="e">
        <f ca="1">INDIRECT("Datenvorbereitung!ag"&amp;_xlfn.SHEET()+1)</f>
        <v>#REF!</v>
      </c>
      <c r="N83" s="7" t="e">
        <f ca="1">INDIRECT("Datenvorbereitung!ah"&amp;_xlfn.SHEET()+1)</f>
        <v>#REF!</v>
      </c>
      <c r="O83" s="7" t="e">
        <f ca="1">INDIRECT("Datenvorbereitung!ai"&amp;_xlfn.SHEET()+1)</f>
        <v>#REF!</v>
      </c>
      <c r="P83" s="7"/>
      <c r="Q83" s="7"/>
    </row>
    <row r="84" spans="9:17" ht="9" customHeight="1" x14ac:dyDescent="0.25">
      <c r="I84" s="6" t="s">
        <v>68</v>
      </c>
      <c r="J84" s="6" t="s">
        <v>69</v>
      </c>
      <c r="K84" s="6" t="s">
        <v>70</v>
      </c>
      <c r="L84" s="6" t="s">
        <v>71</v>
      </c>
      <c r="M84" s="6" t="s">
        <v>72</v>
      </c>
      <c r="N84" s="6" t="s">
        <v>73</v>
      </c>
      <c r="O84" s="7" t="s">
        <v>74</v>
      </c>
      <c r="P84" s="7"/>
      <c r="Q84" s="7"/>
    </row>
    <row r="85" spans="9:17" ht="9" customHeight="1" x14ac:dyDescent="0.25">
      <c r="I85" s="6" t="e">
        <f ca="1">INDIRECT("Datenvorbereitung!aj"&amp;_xlfn.SHEET()+1)</f>
        <v>#REF!</v>
      </c>
      <c r="J85" s="7" t="e">
        <f ca="1">INDIRECT("Datenvorbereitung!ak"&amp;_xlfn.SHEET()+1)</f>
        <v>#REF!</v>
      </c>
      <c r="K85" s="7" t="e">
        <f ca="1">INDIRECT("Datenvorbereitung!al"&amp;_xlfn.SHEET()+1)</f>
        <v>#REF!</v>
      </c>
      <c r="L85" s="7" t="e">
        <f ca="1">INDIRECT("Datenvorbereitung!am"&amp;_xlfn.SHEET()+1)</f>
        <v>#REF!</v>
      </c>
      <c r="M85" s="7" t="e">
        <f ca="1">INDIRECT("Datenvorbereitung!an"&amp;_xlfn.SHEET()+1)</f>
        <v>#REF!</v>
      </c>
      <c r="N85" s="7" t="e">
        <f ca="1">INDIRECT("Datenvorbereitung!ao"&amp;_xlfn.SHEET()+1)</f>
        <v>#REF!</v>
      </c>
      <c r="O85" s="7" t="e">
        <f ca="1">INDIRECT("Datenvorbereitung!ap"&amp;_xlfn.SHEET()+1)</f>
        <v>#REF!</v>
      </c>
      <c r="P85" s="7"/>
      <c r="Q85" s="7"/>
    </row>
    <row r="86" spans="9:17" ht="9" customHeight="1" x14ac:dyDescent="0.25">
      <c r="I86" s="6" t="s">
        <v>75</v>
      </c>
      <c r="J86" s="6" t="s">
        <v>76</v>
      </c>
      <c r="K86" s="6" t="s">
        <v>77</v>
      </c>
      <c r="L86" s="6" t="s">
        <v>78</v>
      </c>
      <c r="M86" s="6" t="s">
        <v>154</v>
      </c>
      <c r="N86" s="6" t="s">
        <v>79</v>
      </c>
      <c r="O86" s="6" t="s">
        <v>153</v>
      </c>
      <c r="P86" s="7" t="s">
        <v>80</v>
      </c>
      <c r="Q86" s="7"/>
    </row>
    <row r="87" spans="9:17" ht="9" customHeight="1" x14ac:dyDescent="0.25">
      <c r="I87" s="6" t="e">
        <f ca="1">INDIRECT("Datenvorbereitung!aq"&amp;_xlfn.SHEET()+1)</f>
        <v>#REF!</v>
      </c>
      <c r="J87" s="7" t="e">
        <f ca="1">INDIRECT("Datenvorbereitung!ar"&amp;_xlfn.SHEET()+1)</f>
        <v>#REF!</v>
      </c>
      <c r="K87" s="7" t="e">
        <f ca="1">INDIRECT("Datenvorbereitung!as"&amp;_xlfn.SHEET()+1)</f>
        <v>#REF!</v>
      </c>
      <c r="L87" s="7" t="e">
        <f ca="1">INDIRECT("Datenvorbereitung!at"&amp;_xlfn.SHEET()+1)</f>
        <v>#REF!</v>
      </c>
      <c r="M87" s="7" t="e">
        <f ca="1">INDIRECT("Datenvorbereitung!au"&amp;_xlfn.SHEET()+1)</f>
        <v>#REF!</v>
      </c>
      <c r="N87" s="7" t="e">
        <f ca="1">INDIRECT("Datenvorbereitung!av"&amp;_xlfn.SHEET()+1)</f>
        <v>#REF!</v>
      </c>
      <c r="O87" s="7" t="e">
        <f ca="1">INDIRECT("Datenvorbereitung!aw"&amp;_xlfn.SHEET()+1)</f>
        <v>#REF!</v>
      </c>
      <c r="P87" s="7" t="e">
        <f ca="1">INDIRECT("Datenvorbereitung!ax"&amp;_xlfn.SHEET()+1)</f>
        <v>#REF!</v>
      </c>
      <c r="Q87" s="7"/>
    </row>
    <row r="88" spans="9:17" ht="9" customHeight="1" x14ac:dyDescent="0.25">
      <c r="I88" s="10" t="s">
        <v>1</v>
      </c>
      <c r="J88" s="10" t="s">
        <v>37</v>
      </c>
      <c r="K88" s="10" t="s">
        <v>81</v>
      </c>
      <c r="L88" s="10" t="s">
        <v>15</v>
      </c>
      <c r="M88" s="10" t="s">
        <v>82</v>
      </c>
      <c r="N88" s="10" t="s">
        <v>83</v>
      </c>
      <c r="O88" s="11" t="s">
        <v>28</v>
      </c>
      <c r="P88" s="11" t="s">
        <v>84</v>
      </c>
      <c r="Q88" s="11" t="s">
        <v>16</v>
      </c>
    </row>
    <row r="89" spans="9:17" ht="9" customHeight="1" x14ac:dyDescent="0.25">
      <c r="I89" s="6" t="e">
        <f ca="1">INDIRECT("Datenvorbereitung!az"&amp;_xlfn.SHEET()+1)</f>
        <v>#REF!</v>
      </c>
      <c r="J89" s="7" t="e">
        <f ca="1">INDIRECT("Datenvorbereitung!ba"&amp;_xlfn.SHEET()+1)</f>
        <v>#REF!</v>
      </c>
      <c r="K89" s="7" t="e">
        <f ca="1">INDIRECT("Datenvorbereitung!bb"&amp;_xlfn.SHEET()+1)</f>
        <v>#REF!</v>
      </c>
      <c r="L89" s="7" t="e">
        <f ca="1">INDIRECT("Datenvorbereitung!bc"&amp;_xlfn.SHEET()+1)</f>
        <v>#REF!</v>
      </c>
      <c r="M89" s="7" t="e">
        <f ca="1">INDIRECT("Datenvorbereitung!bd"&amp;_xlfn.SHEET()+1)</f>
        <v>#REF!</v>
      </c>
      <c r="N89" s="7" t="e">
        <f ca="1">INDIRECT("Datenvorbereitung!be"&amp;_xlfn.SHEET()+1)</f>
        <v>#REF!</v>
      </c>
      <c r="O89" s="7" t="e">
        <f ca="1">INDIRECT("Datenvorbereitung!bf"&amp;_xlfn.SHEET()+1)</f>
        <v>#REF!</v>
      </c>
      <c r="P89" s="7" t="e">
        <f ca="1">INDIRECT("Datenvorbereitung!bg"&amp;_xlfn.SHEET()+1)</f>
        <v>#REF!</v>
      </c>
      <c r="Q89" s="7" t="e">
        <f ca="1">INDIRECT("Datenvorbereitung!bh"&amp;_xlfn.SHEET()+1)</f>
        <v>#REF!</v>
      </c>
    </row>
    <row r="90" spans="9:17" ht="9" customHeight="1" x14ac:dyDescent="0.25">
      <c r="I90" s="12" t="s">
        <v>0</v>
      </c>
      <c r="J90" s="12" t="s">
        <v>1</v>
      </c>
      <c r="K90" s="12" t="s">
        <v>36</v>
      </c>
      <c r="L90" s="12" t="s">
        <v>85</v>
      </c>
      <c r="M90" s="12" t="s">
        <v>37</v>
      </c>
      <c r="N90" s="12" t="s">
        <v>86</v>
      </c>
      <c r="O90" s="13" t="s">
        <v>45</v>
      </c>
      <c r="P90" s="14"/>
      <c r="Q90" s="14"/>
    </row>
    <row r="91" spans="9:17" ht="9" customHeight="1" x14ac:dyDescent="0.25">
      <c r="I91" s="6" t="e">
        <f ca="1">INDIRECT("Datenvorbereitung!bih"&amp;_xlfn.SHEET()+1)</f>
        <v>#REF!</v>
      </c>
      <c r="J91" s="7" t="e">
        <f ca="1">INDIRECT("Datenvorbereitung!bj"&amp;_xlfn.SHEET()+1)</f>
        <v>#REF!</v>
      </c>
      <c r="K91" s="7" t="e">
        <f ca="1">INDIRECT("Datenvorbereitung!bk"&amp;_xlfn.SHEET()+1)</f>
        <v>#REF!</v>
      </c>
      <c r="L91" s="7" t="e">
        <f ca="1">INDIRECT("Datenvorbereitung!bl"&amp;_xlfn.SHEET()+1)</f>
        <v>#REF!</v>
      </c>
      <c r="M91" s="7" t="e">
        <f ca="1">INDIRECT("Datenvorbereitung!bm"&amp;_xlfn.SHEET()+1)</f>
        <v>#REF!</v>
      </c>
      <c r="N91" s="7" t="e">
        <f ca="1">INDIRECT("Datenvorbereitung!bn"&amp;_xlfn.SHEET()+1)</f>
        <v>#REF!</v>
      </c>
      <c r="O91" s="7" t="e">
        <f ca="1">INDIRECT("Datenvorbereitung!bo"&amp;_xlfn.SHEET()+1)</f>
        <v>#REF!</v>
      </c>
      <c r="P91" s="14"/>
      <c r="Q91" s="14"/>
    </row>
    <row r="92" spans="9:17" ht="9" customHeight="1" x14ac:dyDescent="0.25">
      <c r="I92" s="12" t="s">
        <v>46</v>
      </c>
      <c r="J92" s="12" t="s">
        <v>47</v>
      </c>
      <c r="K92" s="12" t="s">
        <v>52</v>
      </c>
      <c r="L92" s="12" t="s">
        <v>54</v>
      </c>
      <c r="M92" s="12" t="s">
        <v>87</v>
      </c>
      <c r="N92" s="12" t="s">
        <v>58</v>
      </c>
      <c r="O92" s="13" t="s">
        <v>88</v>
      </c>
      <c r="P92" s="13"/>
      <c r="Q92" s="15"/>
    </row>
    <row r="93" spans="9:17" ht="9" customHeight="1" x14ac:dyDescent="0.25">
      <c r="I93" s="6" t="e">
        <f ca="1">INDIRECT("Datenvorbereitung!bp"&amp;_xlfn.SHEET()+1)</f>
        <v>#REF!</v>
      </c>
      <c r="J93" s="7" t="e">
        <f ca="1">INDIRECT("Datenvorbereitung!bq"&amp;_xlfn.SHEET()+1)</f>
        <v>#REF!</v>
      </c>
      <c r="K93" s="7" t="e">
        <f ca="1">INDIRECT("Datenvorbereitung!br"&amp;_xlfn.SHEET()+1)</f>
        <v>#REF!</v>
      </c>
      <c r="L93" s="7" t="e">
        <f ca="1">INDIRECT("Datenvorbereitung!bs"&amp;_xlfn.SHEET()+1)</f>
        <v>#REF!</v>
      </c>
      <c r="M93" s="7" t="e">
        <f ca="1">INDIRECT("Datenvorbereitung!bt"&amp;_xlfn.SHEET()+1)</f>
        <v>#REF!</v>
      </c>
      <c r="N93" s="7" t="e">
        <f ca="1">INDIRECT("Datenvorbereitung!bu"&amp;_xlfn.SHEET()+1)</f>
        <v>#REF!</v>
      </c>
      <c r="O93" s="7" t="e">
        <f ca="1">INDIRECT("Datenvorbereitung!bv"&amp;_xlfn.SHEET()+1)</f>
        <v>#REF!</v>
      </c>
      <c r="P93" s="13"/>
      <c r="Q93" s="15"/>
    </row>
    <row r="94" spans="9:17" ht="9" customHeight="1" x14ac:dyDescent="0.25">
      <c r="I94" s="12" t="s">
        <v>89</v>
      </c>
      <c r="J94" s="12" t="s">
        <v>90</v>
      </c>
      <c r="K94" s="12" t="s">
        <v>91</v>
      </c>
      <c r="L94" s="12" t="s">
        <v>92</v>
      </c>
      <c r="M94" s="12" t="s">
        <v>93</v>
      </c>
      <c r="N94" s="12" t="s">
        <v>94</v>
      </c>
      <c r="O94" s="13" t="s">
        <v>95</v>
      </c>
      <c r="P94" s="13"/>
      <c r="Q94" s="15"/>
    </row>
    <row r="95" spans="9:17" ht="9" customHeight="1" x14ac:dyDescent="0.25">
      <c r="I95" s="6" t="e">
        <f ca="1">INDIRECT("Datenvorbereitung!bw"&amp;_xlfn.SHEET()+1)</f>
        <v>#REF!</v>
      </c>
      <c r="J95" s="7" t="e">
        <f ca="1">INDIRECT("Datenvorbereitung!bx"&amp;_xlfn.SHEET()+1)</f>
        <v>#REF!</v>
      </c>
      <c r="K95" s="7" t="e">
        <f ca="1">INDIRECT("Datenvorbereitung!by"&amp;_xlfn.SHEET()+1)</f>
        <v>#REF!</v>
      </c>
      <c r="L95" s="7" t="e">
        <f ca="1">INDIRECT("Datenvorbereitung!bz"&amp;_xlfn.SHEET()+1)</f>
        <v>#REF!</v>
      </c>
      <c r="M95" s="7" t="e">
        <f ca="1">INDIRECT("Datenvorbereitung!ca"&amp;_xlfn.SHEET()+1)</f>
        <v>#REF!</v>
      </c>
      <c r="N95" s="7" t="e">
        <f ca="1">INDIRECT("Datenvorbereitung!cb"&amp;_xlfn.SHEET()+1)</f>
        <v>#REF!</v>
      </c>
      <c r="O95" s="7" t="e">
        <f ca="1">INDIRECT("Datenvorbereitung!cc"&amp;_xlfn.SHEET()+1)</f>
        <v>#REF!</v>
      </c>
      <c r="P95" s="13"/>
      <c r="Q95" s="15"/>
    </row>
    <row r="96" spans="9:17" ht="9" customHeight="1" x14ac:dyDescent="0.25">
      <c r="I96" s="12" t="s">
        <v>69</v>
      </c>
      <c r="J96" s="12" t="s">
        <v>70</v>
      </c>
      <c r="K96" s="12" t="s">
        <v>71</v>
      </c>
      <c r="L96" s="12" t="s">
        <v>72</v>
      </c>
      <c r="M96" s="12" t="s">
        <v>73</v>
      </c>
      <c r="N96" s="12" t="s">
        <v>96</v>
      </c>
      <c r="O96" s="13" t="s">
        <v>97</v>
      </c>
      <c r="P96" s="13"/>
      <c r="Q96" s="15"/>
    </row>
    <row r="97" spans="9:17" ht="9" customHeight="1" x14ac:dyDescent="0.25">
      <c r="I97" s="6" t="e">
        <f ca="1">INDIRECT("Datenvorbereitung!cd"&amp;_xlfn.SHEET()+1)</f>
        <v>#REF!</v>
      </c>
      <c r="J97" s="7" t="e">
        <f ca="1">INDIRECT("Datenvorbereitung!ce"&amp;_xlfn.SHEET()+1)</f>
        <v>#REF!</v>
      </c>
      <c r="K97" s="7" t="e">
        <f ca="1">INDIRECT("Datenvorbereitung!cf"&amp;_xlfn.SHEET()+1)</f>
        <v>#REF!</v>
      </c>
      <c r="L97" s="7" t="e">
        <f ca="1">INDIRECT("Datenvorbereitung!cg"&amp;_xlfn.SHEET()+1)</f>
        <v>#REF!</v>
      </c>
      <c r="M97" s="7" t="e">
        <f ca="1">INDIRECT("Datenvorbereitung!ch"&amp;_xlfn.SHEET()+1)</f>
        <v>#REF!</v>
      </c>
      <c r="N97" s="7" t="e">
        <f ca="1">INDIRECT("Datenvorbereitung!ci"&amp;_xlfn.SHEET()+1)</f>
        <v>#REF!</v>
      </c>
      <c r="O97" s="7" t="e">
        <f ca="1">INDIRECT("Datenvorbereitung!cj"&amp;_xlfn.SHEET()+1)</f>
        <v>#REF!</v>
      </c>
      <c r="P97" s="13"/>
      <c r="Q97" s="15"/>
    </row>
    <row r="98" spans="9:17" ht="9" customHeight="1" x14ac:dyDescent="0.25">
      <c r="I98" s="12" t="s">
        <v>98</v>
      </c>
      <c r="J98" s="12" t="s">
        <v>99</v>
      </c>
      <c r="K98" s="12" t="s">
        <v>100</v>
      </c>
      <c r="L98" s="12" t="s">
        <v>101</v>
      </c>
      <c r="M98" s="12" t="s">
        <v>102</v>
      </c>
      <c r="N98" s="12" t="s">
        <v>152</v>
      </c>
      <c r="O98" s="13" t="s">
        <v>151</v>
      </c>
      <c r="P98" s="13" t="s">
        <v>150</v>
      </c>
      <c r="Q98" s="15"/>
    </row>
    <row r="99" spans="9:17" ht="9" customHeight="1" x14ac:dyDescent="0.25">
      <c r="I99" s="6" t="e">
        <f ca="1">INDIRECT("Datenvorbereitung!ck"&amp;_xlfn.SHEET()+1)</f>
        <v>#REF!</v>
      </c>
      <c r="J99" s="7" t="e">
        <f ca="1">INDIRECT("Datenvorbereitung!cl"&amp;_xlfn.SHEET()+1)</f>
        <v>#REF!</v>
      </c>
      <c r="K99" s="7" t="e">
        <f ca="1">INDIRECT("Datenvorbereitung!cm"&amp;_xlfn.SHEET()+1)</f>
        <v>#REF!</v>
      </c>
      <c r="L99" s="7" t="e">
        <f ca="1">INDIRECT("Datenvorbereitung!cn"&amp;_xlfn.SHEET()+1)</f>
        <v>#REF!</v>
      </c>
      <c r="M99" s="7" t="e">
        <f ca="1">INDIRECT("Datenvorbereitung!co"&amp;_xlfn.SHEET()+1)</f>
        <v>#REF!</v>
      </c>
      <c r="N99" s="7" t="e">
        <f ca="1">INDIRECT("Datenvorbereitung!cp"&amp;_xlfn.SHEET()+1)</f>
        <v>#REF!</v>
      </c>
      <c r="O99" s="7" t="e">
        <f ca="1">INDIRECT("Datenvorbereitung!cq"&amp;_xlfn.SHEET()+1)</f>
        <v>#REF!</v>
      </c>
      <c r="P99" s="7" t="e">
        <f ca="1">INDIRECT("Datenvorbereitung!cr"&amp;_xlfn.SHEET()+1)</f>
        <v>#REF!</v>
      </c>
      <c r="Q99" s="15"/>
    </row>
    <row r="100" spans="9:17" ht="9" customHeight="1" x14ac:dyDescent="0.25">
      <c r="I100" s="16" t="s">
        <v>103</v>
      </c>
      <c r="J100" s="16" t="s">
        <v>104</v>
      </c>
      <c r="K100" s="16" t="s">
        <v>105</v>
      </c>
      <c r="L100" s="16" t="s">
        <v>106</v>
      </c>
      <c r="M100" s="16" t="s">
        <v>107</v>
      </c>
      <c r="N100" s="16" t="s">
        <v>69</v>
      </c>
      <c r="O100" s="14" t="s">
        <v>70</v>
      </c>
      <c r="P100" s="14"/>
      <c r="Q100" s="14"/>
    </row>
    <row r="101" spans="9:17" ht="9" customHeight="1" x14ac:dyDescent="0.25">
      <c r="I101" s="18" t="e">
        <f ca="1">I81</f>
        <v>#REF!</v>
      </c>
      <c r="J101" s="18" t="e">
        <f ca="1">J81</f>
        <v>#REF!</v>
      </c>
      <c r="K101" s="18" t="e">
        <f ca="1">K81</f>
        <v>#REF!</v>
      </c>
      <c r="L101" s="18" t="e">
        <f ca="1">L81</f>
        <v>#REF!</v>
      </c>
      <c r="M101" s="18" t="e">
        <f ca="1">M81</f>
        <v>#REF!</v>
      </c>
      <c r="N101" s="18" t="e">
        <f ca="1">J85</f>
        <v>#REF!</v>
      </c>
      <c r="O101" s="19" t="e">
        <f ca="1">K85</f>
        <v>#REF!</v>
      </c>
      <c r="P101" s="14"/>
      <c r="Q101" s="14"/>
    </row>
    <row r="102" spans="9:17" ht="9" customHeight="1" x14ac:dyDescent="0.25">
      <c r="I102" s="16" t="s">
        <v>71</v>
      </c>
      <c r="J102" s="20" t="s">
        <v>72</v>
      </c>
      <c r="K102" s="16" t="s">
        <v>73</v>
      </c>
      <c r="L102" s="16" t="s">
        <v>103</v>
      </c>
      <c r="M102" s="16" t="s">
        <v>104</v>
      </c>
      <c r="N102" s="16" t="s">
        <v>105</v>
      </c>
      <c r="O102" s="16" t="s">
        <v>106</v>
      </c>
      <c r="P102" s="16" t="s">
        <v>107</v>
      </c>
      <c r="Q102" s="14"/>
    </row>
    <row r="103" spans="9:17" ht="9" customHeight="1" x14ac:dyDescent="0.25">
      <c r="I103" s="17" t="e">
        <f ca="1">L85</f>
        <v>#REF!</v>
      </c>
      <c r="J103" s="18" t="e">
        <f ca="1">M85</f>
        <v>#REF!</v>
      </c>
      <c r="K103" s="18" t="e">
        <f ca="1">N85</f>
        <v>#REF!</v>
      </c>
      <c r="L103" s="21" t="e">
        <f ca="1">J85</f>
        <v>#REF!</v>
      </c>
      <c r="M103" s="21" t="e">
        <f t="shared" ref="M103:P103" ca="1" si="0">K85</f>
        <v>#REF!</v>
      </c>
      <c r="N103" s="21" t="e">
        <f t="shared" ca="1" si="0"/>
        <v>#REF!</v>
      </c>
      <c r="O103" s="21" t="e">
        <f t="shared" ca="1" si="0"/>
        <v>#REF!</v>
      </c>
      <c r="P103" s="21" t="e">
        <f t="shared" ca="1" si="0"/>
        <v>#REF!</v>
      </c>
      <c r="Q103" s="14"/>
    </row>
    <row r="104" spans="9:17" ht="9" customHeight="1" x14ac:dyDescent="0.25">
      <c r="I104" s="17" t="s">
        <v>147</v>
      </c>
      <c r="J104" s="18" t="s">
        <v>126</v>
      </c>
      <c r="K104" s="21" t="s">
        <v>156</v>
      </c>
      <c r="L104" s="22"/>
      <c r="M104" s="21"/>
      <c r="N104" s="21"/>
      <c r="O104" s="22"/>
      <c r="P104" s="22"/>
      <c r="Q104" s="14"/>
    </row>
    <row r="105" spans="9:17" ht="9" customHeight="1" x14ac:dyDescent="0.25">
      <c r="I105" s="7" t="e">
        <f ca="1">INDIRECT("Datenvorbereitung!ay"&amp;_xlfn.SHEET()+1)</f>
        <v>#REF!</v>
      </c>
      <c r="J105" s="129" t="e">
        <f ca="1">IF(ISBLANK(L105),"-",L105)</f>
        <v>#REF!</v>
      </c>
      <c r="K105" s="130" t="e">
        <f ca="1">IF(ISBLANK(M105),"-",M105)</f>
        <v>#REF!</v>
      </c>
      <c r="L105" s="129" t="e">
        <f ca="1">INDIRECT("Datenvorbereitung!ct"&amp;_xlfn.SHEET()+1)</f>
        <v>#REF!</v>
      </c>
      <c r="M105" s="131" t="e">
        <f ca="1">INDIRECT("Datenvorbereitung!cu"&amp;_xlfn.SHEET()+1)</f>
        <v>#REF!</v>
      </c>
      <c r="N105" s="21" t="e">
        <f ca="1">INDIRECT("Datenvorbereitung!H"&amp;_xlfn.SHEET()+1)</f>
        <v>#REF!</v>
      </c>
      <c r="O105" s="22" t="e">
        <f ca="1">INDIRECT("Datenvorbereitung!J"&amp;_xlfn.SHEET()+1)</f>
        <v>#REF!</v>
      </c>
      <c r="P105" s="22"/>
      <c r="Q105" s="14"/>
    </row>
    <row r="106" spans="9:17" x14ac:dyDescent="0.25">
      <c r="I106" s="132" t="e">
        <f ca="1">INDIRECT("Datenvorbereitung!CV"&amp;_xlfn.SHEET()+1)</f>
        <v>#REF!</v>
      </c>
      <c r="J106" s="132" t="e">
        <f ca="1">INDIRECT("Datenvorbereitung!CW"&amp;_xlfn.SHEET()+1)</f>
        <v>#REF!</v>
      </c>
      <c r="K106" s="133" t="e">
        <f ca="1">INDIRECT("Datenvorbereitung!C"&amp;_xlfn.SHEET()+1)</f>
        <v>#REF!</v>
      </c>
      <c r="L106" s="133" t="e">
        <f ca="1">INDIRECT("Datenvorbereitung!D"&amp;_xlfn.SHEET()+1)</f>
        <v>#REF!</v>
      </c>
      <c r="M106" s="133" t="e">
        <f ca="1">INDIRECT("Datenvorbereitung!E"&amp;_xlfn.SHEET()+1)</f>
        <v>#REF!</v>
      </c>
      <c r="N106" s="133"/>
      <c r="O106" s="133"/>
    </row>
  </sheetData>
  <mergeCells count="18">
    <mergeCell ref="A1:G1"/>
    <mergeCell ref="A45:A47"/>
    <mergeCell ref="B45:G47"/>
    <mergeCell ref="E19:F19"/>
    <mergeCell ref="A2:B2"/>
    <mergeCell ref="C2:G2"/>
    <mergeCell ref="B6:C6"/>
    <mergeCell ref="B5:C5"/>
    <mergeCell ref="A18:C18"/>
    <mergeCell ref="B12:C12"/>
    <mergeCell ref="B70:E70"/>
    <mergeCell ref="B71:E71"/>
    <mergeCell ref="E21:F21"/>
    <mergeCell ref="E22:F22"/>
    <mergeCell ref="E23:F23"/>
    <mergeCell ref="D38:G38"/>
    <mergeCell ref="E24:F24"/>
    <mergeCell ref="E48:G69"/>
  </mergeCells>
  <conditionalFormatting sqref="B30:B33 E42 B42:B44">
    <cfRule type="cellIs" dxfId="6" priority="15" operator="greaterThan">
      <formula>5</formula>
    </cfRule>
  </conditionalFormatting>
  <conditionalFormatting sqref="B39:B40">
    <cfRule type="cellIs" dxfId="5" priority="1" operator="greaterThan">
      <formula>5</formula>
    </cfRule>
  </conditionalFormatting>
  <conditionalFormatting sqref="B40">
    <cfRule type="cellIs" dxfId="4" priority="10" operator="greaterThan">
      <formula>5</formula>
    </cfRule>
    <cfRule type="cellIs" dxfId="3" priority="11" operator="greaterThanOrEqual">
      <formula>3</formula>
    </cfRule>
  </conditionalFormatting>
  <conditionalFormatting sqref="E41">
    <cfRule type="cellIs" dxfId="2" priority="3" operator="greaterThan">
      <formula>20</formula>
    </cfRule>
  </conditionalFormatting>
  <conditionalFormatting sqref="E43:E44">
    <cfRule type="cellIs" dxfId="1" priority="2" operator="equal">
      <formula>0</formula>
    </cfRule>
  </conditionalFormatting>
  <conditionalFormatting sqref="G42">
    <cfRule type="containsText" dxfId="0" priority="4" operator="containsText" text="sehr stark">
      <formula>NOT(ISERROR(SEARCH("sehr stark",G42)))</formula>
    </cfRule>
  </conditionalFormatting>
  <hyperlinks>
    <hyperlink ref="B71" r:id="rId1" tooltip="CC BY-NC-SA 3.0 DE" xr:uid="{00000000-0004-0000-00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57" orientation="portrait" horizontalDpi="4294967293" verticalDpi="1200" r:id="rId2"/>
  <headerFooter>
    <oddFooter>&amp;L&amp;D  &amp;T&amp;C&amp;P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E32"/>
  <sheetViews>
    <sheetView tabSelected="1" workbookViewId="0">
      <selection activeCell="B31" sqref="B31"/>
    </sheetView>
  </sheetViews>
  <sheetFormatPr baseColWidth="10" defaultRowHeight="15" x14ac:dyDescent="0.25"/>
  <cols>
    <col min="1" max="1" width="42.28515625" customWidth="1"/>
    <col min="2" max="2" width="27.5703125" customWidth="1"/>
    <col min="3" max="3" width="27.5703125" bestFit="1" customWidth="1"/>
    <col min="4" max="4" width="84.5703125" bestFit="1" customWidth="1"/>
    <col min="5" max="5" width="11.42578125" style="37"/>
  </cols>
  <sheetData>
    <row r="1" spans="1:5" ht="26.25" x14ac:dyDescent="0.4">
      <c r="A1" s="38" t="s">
        <v>121</v>
      </c>
      <c r="B1" s="38"/>
      <c r="C1" s="38"/>
      <c r="D1" s="38"/>
      <c r="E1" s="40"/>
    </row>
    <row r="2" spans="1:5" x14ac:dyDescent="0.25">
      <c r="A2" s="39" t="s">
        <v>134</v>
      </c>
      <c r="B2" s="39"/>
      <c r="C2" s="39" t="s">
        <v>124</v>
      </c>
      <c r="D2" s="39" t="s">
        <v>122</v>
      </c>
      <c r="E2" s="39" t="s">
        <v>123</v>
      </c>
    </row>
    <row r="3" spans="1:5" x14ac:dyDescent="0.25">
      <c r="A3" s="172" t="s">
        <v>6</v>
      </c>
      <c r="B3" s="165" t="s">
        <v>8</v>
      </c>
      <c r="C3" t="s">
        <v>158</v>
      </c>
      <c r="D3" t="s">
        <v>160</v>
      </c>
      <c r="E3" s="37" t="s">
        <v>9</v>
      </c>
    </row>
    <row r="4" spans="1:5" x14ac:dyDescent="0.25">
      <c r="A4" s="171"/>
      <c r="B4" s="165" t="s">
        <v>11</v>
      </c>
      <c r="C4" t="s">
        <v>159</v>
      </c>
      <c r="D4" t="s">
        <v>188</v>
      </c>
      <c r="E4" s="37" t="s">
        <v>9</v>
      </c>
    </row>
    <row r="5" spans="1:5" x14ac:dyDescent="0.25">
      <c r="A5" s="171"/>
      <c r="B5" s="165" t="s">
        <v>200</v>
      </c>
      <c r="C5" t="s">
        <v>161</v>
      </c>
      <c r="D5" t="s">
        <v>189</v>
      </c>
      <c r="E5" s="37" t="s">
        <v>9</v>
      </c>
    </row>
    <row r="6" spans="1:5" x14ac:dyDescent="0.25">
      <c r="A6" s="173" t="s">
        <v>162</v>
      </c>
      <c r="B6" s="166" t="s">
        <v>137</v>
      </c>
      <c r="C6" t="s">
        <v>133</v>
      </c>
      <c r="D6" t="s">
        <v>167</v>
      </c>
      <c r="E6" s="37" t="s">
        <v>108</v>
      </c>
    </row>
    <row r="7" spans="1:5" x14ac:dyDescent="0.25">
      <c r="A7" s="171"/>
      <c r="B7" s="166" t="s">
        <v>138</v>
      </c>
      <c r="C7" t="s">
        <v>132</v>
      </c>
      <c r="D7" t="s">
        <v>166</v>
      </c>
      <c r="E7" s="37" t="s">
        <v>108</v>
      </c>
    </row>
    <row r="8" spans="1:5" x14ac:dyDescent="0.25">
      <c r="A8" s="171"/>
      <c r="B8" s="166" t="s">
        <v>12</v>
      </c>
      <c r="C8" t="s">
        <v>163</v>
      </c>
      <c r="D8" t="s">
        <v>165</v>
      </c>
      <c r="E8" s="37" t="s">
        <v>108</v>
      </c>
    </row>
    <row r="9" spans="1:5" x14ac:dyDescent="0.25">
      <c r="A9" s="171"/>
      <c r="B9" s="166" t="s">
        <v>139</v>
      </c>
      <c r="C9" t="s">
        <v>131</v>
      </c>
      <c r="D9" t="s">
        <v>168</v>
      </c>
      <c r="E9" s="33" t="s">
        <v>108</v>
      </c>
    </row>
    <row r="10" spans="1:5" x14ac:dyDescent="0.25">
      <c r="A10" s="174" t="s">
        <v>13</v>
      </c>
      <c r="B10" s="167" t="s">
        <v>140</v>
      </c>
      <c r="C10" t="s">
        <v>130</v>
      </c>
      <c r="D10" t="s">
        <v>164</v>
      </c>
      <c r="E10" s="33" t="s">
        <v>108</v>
      </c>
    </row>
    <row r="11" spans="1:5" ht="30" x14ac:dyDescent="0.25">
      <c r="A11" s="171"/>
      <c r="B11" s="168" t="s">
        <v>207</v>
      </c>
      <c r="C11" s="5" t="s">
        <v>125</v>
      </c>
      <c r="D11" s="100" t="s">
        <v>171</v>
      </c>
      <c r="E11" s="33" t="s">
        <v>108</v>
      </c>
    </row>
    <row r="12" spans="1:5" ht="30" x14ac:dyDescent="0.25">
      <c r="A12" s="171"/>
      <c r="B12" s="75" t="s">
        <v>118</v>
      </c>
      <c r="C12" s="5" t="s">
        <v>118</v>
      </c>
      <c r="D12" s="100" t="s">
        <v>170</v>
      </c>
      <c r="E12" s="33" t="s">
        <v>108</v>
      </c>
    </row>
    <row r="13" spans="1:5" ht="30" x14ac:dyDescent="0.25">
      <c r="A13" s="171"/>
      <c r="B13" s="168" t="s">
        <v>16</v>
      </c>
      <c r="C13" s="5" t="s">
        <v>16</v>
      </c>
      <c r="D13" s="100" t="s">
        <v>169</v>
      </c>
      <c r="E13" s="33" t="s">
        <v>108</v>
      </c>
    </row>
    <row r="14" spans="1:5" x14ac:dyDescent="0.25">
      <c r="A14" s="174" t="s">
        <v>17</v>
      </c>
      <c r="B14" s="169" t="s">
        <v>19</v>
      </c>
      <c r="C14" t="s">
        <v>172</v>
      </c>
      <c r="D14" t="s">
        <v>176</v>
      </c>
      <c r="E14" s="33" t="s">
        <v>108</v>
      </c>
    </row>
    <row r="15" spans="1:5" x14ac:dyDescent="0.25">
      <c r="A15" s="171"/>
      <c r="B15" s="170" t="s">
        <v>21</v>
      </c>
      <c r="C15" t="s">
        <v>173</v>
      </c>
      <c r="D15" t="s">
        <v>175</v>
      </c>
      <c r="E15" s="33" t="s">
        <v>108</v>
      </c>
    </row>
    <row r="16" spans="1:5" x14ac:dyDescent="0.25">
      <c r="A16" s="171"/>
      <c r="B16" s="169" t="s">
        <v>23</v>
      </c>
      <c r="C16" t="s">
        <v>174</v>
      </c>
      <c r="D16" t="s">
        <v>177</v>
      </c>
      <c r="E16" s="33" t="s">
        <v>108</v>
      </c>
    </row>
    <row r="17" spans="1:5" ht="30" x14ac:dyDescent="0.25">
      <c r="A17" s="175" t="s">
        <v>202</v>
      </c>
      <c r="B17" s="53" t="s">
        <v>117</v>
      </c>
      <c r="C17" s="5" t="s">
        <v>117</v>
      </c>
      <c r="D17" s="100" t="s">
        <v>178</v>
      </c>
      <c r="E17" s="33"/>
    </row>
    <row r="18" spans="1:5" x14ac:dyDescent="0.25">
      <c r="A18" s="174" t="s">
        <v>25</v>
      </c>
      <c r="B18" s="169" t="s">
        <v>26</v>
      </c>
      <c r="C18" t="s">
        <v>82</v>
      </c>
      <c r="D18" s="100" t="s">
        <v>179</v>
      </c>
      <c r="E18" s="33" t="s">
        <v>108</v>
      </c>
    </row>
    <row r="19" spans="1:5" x14ac:dyDescent="0.25">
      <c r="A19" s="171"/>
      <c r="B19" s="170" t="s">
        <v>27</v>
      </c>
      <c r="C19" t="s">
        <v>129</v>
      </c>
      <c r="D19" s="100" t="s">
        <v>180</v>
      </c>
      <c r="E19" s="33" t="s">
        <v>108</v>
      </c>
    </row>
    <row r="20" spans="1:5" x14ac:dyDescent="0.25">
      <c r="A20" s="171"/>
      <c r="B20" s="169" t="s">
        <v>29</v>
      </c>
      <c r="C20" t="s">
        <v>128</v>
      </c>
      <c r="D20" s="100" t="s">
        <v>181</v>
      </c>
      <c r="E20" s="33" t="s">
        <v>108</v>
      </c>
    </row>
    <row r="21" spans="1:5" ht="30" x14ac:dyDescent="0.25">
      <c r="A21" s="176" t="s">
        <v>187</v>
      </c>
      <c r="B21" s="177" t="s">
        <v>10</v>
      </c>
      <c r="C21" s="5" t="s">
        <v>10</v>
      </c>
      <c r="D21" s="100" t="s">
        <v>182</v>
      </c>
      <c r="E21" s="33" t="s">
        <v>9</v>
      </c>
    </row>
    <row r="22" spans="1:5" x14ac:dyDescent="0.25">
      <c r="A22" s="171"/>
      <c r="B22" s="178" t="s">
        <v>20</v>
      </c>
      <c r="C22" t="s">
        <v>20</v>
      </c>
      <c r="D22" t="s">
        <v>183</v>
      </c>
      <c r="E22" s="33" t="s">
        <v>108</v>
      </c>
    </row>
    <row r="23" spans="1:5" x14ac:dyDescent="0.25">
      <c r="A23" s="171"/>
      <c r="B23" s="179" t="s">
        <v>22</v>
      </c>
      <c r="C23" t="s">
        <v>22</v>
      </c>
      <c r="D23" t="s">
        <v>184</v>
      </c>
      <c r="E23" s="33" t="s">
        <v>108</v>
      </c>
    </row>
    <row r="24" spans="1:5" x14ac:dyDescent="0.25">
      <c r="A24" s="171"/>
      <c r="B24" s="178" t="s">
        <v>24</v>
      </c>
      <c r="C24" t="s">
        <v>24</v>
      </c>
      <c r="D24" t="s">
        <v>185</v>
      </c>
      <c r="E24" s="33" t="s">
        <v>108</v>
      </c>
    </row>
    <row r="25" spans="1:5" ht="30" x14ac:dyDescent="0.25">
      <c r="A25" s="171"/>
      <c r="B25" s="75" t="s">
        <v>198</v>
      </c>
      <c r="C25" s="5" t="s">
        <v>148</v>
      </c>
      <c r="D25" s="100" t="s">
        <v>186</v>
      </c>
    </row>
    <row r="26" spans="1:5" ht="30" x14ac:dyDescent="0.25">
      <c r="A26" s="176" t="s">
        <v>157</v>
      </c>
      <c r="B26" s="177" t="s">
        <v>109</v>
      </c>
      <c r="C26" s="103" t="s">
        <v>109</v>
      </c>
      <c r="D26" s="103" t="s">
        <v>194</v>
      </c>
      <c r="E26" s="104" t="s">
        <v>110</v>
      </c>
    </row>
    <row r="27" spans="1:5" ht="30" x14ac:dyDescent="0.25">
      <c r="B27" s="180" t="s">
        <v>203</v>
      </c>
      <c r="C27" s="103" t="s">
        <v>155</v>
      </c>
      <c r="D27" s="103" t="s">
        <v>193</v>
      </c>
      <c r="E27" s="104" t="s">
        <v>110</v>
      </c>
    </row>
    <row r="28" spans="1:5" x14ac:dyDescent="0.25">
      <c r="B28" s="176" t="s">
        <v>30</v>
      </c>
      <c r="C28" t="s">
        <v>127</v>
      </c>
      <c r="D28" t="s">
        <v>191</v>
      </c>
      <c r="E28" s="37" t="s">
        <v>108</v>
      </c>
    </row>
    <row r="29" spans="1:5" ht="45" x14ac:dyDescent="0.25">
      <c r="B29" s="181" t="s">
        <v>111</v>
      </c>
      <c r="C29" s="5" t="s">
        <v>28</v>
      </c>
      <c r="D29" s="103" t="s">
        <v>197</v>
      </c>
      <c r="E29" s="33"/>
    </row>
    <row r="30" spans="1:5" ht="30" x14ac:dyDescent="0.25">
      <c r="B30" s="183" t="s">
        <v>28</v>
      </c>
      <c r="C30" s="5" t="s">
        <v>195</v>
      </c>
      <c r="D30" s="103" t="s">
        <v>196</v>
      </c>
      <c r="E30" s="33"/>
    </row>
    <row r="31" spans="1:5" ht="30" x14ac:dyDescent="0.25">
      <c r="B31" s="182" t="s">
        <v>146</v>
      </c>
      <c r="C31" s="5" t="s">
        <v>126</v>
      </c>
      <c r="D31" s="100" t="s">
        <v>192</v>
      </c>
      <c r="E31" s="33" t="s">
        <v>108</v>
      </c>
    </row>
    <row r="32" spans="1:5" x14ac:dyDescent="0.25">
      <c r="B32" s="122" t="s">
        <v>112</v>
      </c>
      <c r="C32" t="s">
        <v>112</v>
      </c>
      <c r="D32" t="s">
        <v>190</v>
      </c>
      <c r="E32" s="37" t="s">
        <v>108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Zoo_Steckbrief</vt:lpstr>
      <vt:lpstr>PL_Legende</vt:lpstr>
      <vt:lpstr>Zoo_Steckbrief!Druckbereich</vt:lpstr>
    </vt:vector>
  </TitlesOfParts>
  <Company>BTU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RWWD</dc:creator>
  <cp:lastModifiedBy>Master</cp:lastModifiedBy>
  <cp:lastPrinted>2022-11-23T21:33:23Z</cp:lastPrinted>
  <dcterms:created xsi:type="dcterms:W3CDTF">2014-11-23T20:47:47Z</dcterms:created>
  <dcterms:modified xsi:type="dcterms:W3CDTF">2023-05-03T21:39:31Z</dcterms:modified>
</cp:coreProperties>
</file>